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9"/>
  <workbookPr/>
  <mc:AlternateContent xmlns:mc="http://schemas.openxmlformats.org/markup-compatibility/2006">
    <mc:Choice Requires="x15">
      <x15ac:absPath xmlns:x15ac="http://schemas.microsoft.com/office/spreadsheetml/2010/11/ac" url="/Users/marc/Desktop/municipal health/"/>
    </mc:Choice>
  </mc:AlternateContent>
  <xr:revisionPtr revIDLastSave="0" documentId="13_ncr:1_{966E18DB-89C5-824F-88D8-8CF51B2AB63D}" xr6:coauthVersionLast="34" xr6:coauthVersionMax="34" xr10:uidLastSave="{00000000-0000-0000-0000-000000000000}"/>
  <bookViews>
    <workbookView xWindow="4180" yWindow="520" windowWidth="15960" windowHeight="16200" activeTab="1" xr2:uid="{00000000-000D-0000-FFFF-FFFF00000000}"/>
  </bookViews>
  <sheets>
    <sheet name="Scores Sorted" sheetId="1" r:id="rId1"/>
    <sheet name="Output" sheetId="2" r:id="rId2"/>
    <sheet name="Sheet 1" sheetId="3" r:id="rId3"/>
    <sheet name="Data Elements" sheetId="4" r:id="rId4"/>
    <sheet name="Zillow" sheetId="5" r:id="rId5"/>
    <sheet name="Counties" sheetId="6" r:id="rId6"/>
    <sheet name="BEA Pivot" sheetId="7" r:id="rId7"/>
    <sheet name="Unemployment" sheetId="8" r:id="rId8"/>
    <sheet name="BEA Raw Data" sheetId="9" r:id="rId9"/>
  </sheets>
  <calcPr calcId="179021"/>
</workbook>
</file>

<file path=xl/calcChain.xml><?xml version="1.0" encoding="utf-8"?>
<calcChain xmlns="http://schemas.openxmlformats.org/spreadsheetml/2006/main">
  <c r="F193" i="8" l="1"/>
  <c r="A193" i="8"/>
  <c r="F192" i="8"/>
  <c r="A192" i="8"/>
  <c r="F191" i="8"/>
  <c r="A191" i="8"/>
  <c r="F190" i="8"/>
  <c r="A190" i="8"/>
  <c r="F189" i="8"/>
  <c r="A189" i="8"/>
  <c r="F188" i="8"/>
  <c r="A188" i="8"/>
  <c r="F187" i="8"/>
  <c r="A187" i="8"/>
  <c r="F186" i="8"/>
  <c r="A186" i="8"/>
  <c r="F185" i="8"/>
  <c r="A185" i="8"/>
  <c r="F184" i="8"/>
  <c r="A184" i="8"/>
  <c r="F183" i="8"/>
  <c r="A183" i="8"/>
  <c r="F182" i="8"/>
  <c r="A182" i="8"/>
  <c r="F181" i="8"/>
  <c r="A181" i="8"/>
  <c r="F180" i="8"/>
  <c r="A180" i="8"/>
  <c r="F179" i="8"/>
  <c r="A179" i="8"/>
  <c r="F178" i="8"/>
  <c r="A178" i="8"/>
  <c r="F177" i="8"/>
  <c r="A177" i="8"/>
  <c r="F176" i="8"/>
  <c r="A176" i="8"/>
  <c r="F175" i="8"/>
  <c r="A175" i="8"/>
  <c r="F174" i="8"/>
  <c r="A174" i="8"/>
  <c r="F173" i="8"/>
  <c r="A173" i="8"/>
  <c r="F172" i="8"/>
  <c r="A172" i="8"/>
  <c r="F171" i="8"/>
  <c r="A171" i="8"/>
  <c r="F170" i="8"/>
  <c r="A170" i="8"/>
  <c r="F169" i="8"/>
  <c r="A169" i="8"/>
  <c r="F168" i="8"/>
  <c r="A168" i="8"/>
  <c r="F167" i="8"/>
  <c r="A167" i="8"/>
  <c r="F166" i="8"/>
  <c r="A166" i="8"/>
  <c r="F165" i="8"/>
  <c r="A165" i="8"/>
  <c r="F164" i="8"/>
  <c r="A164" i="8"/>
  <c r="F163" i="8"/>
  <c r="A163" i="8"/>
  <c r="F162" i="8"/>
  <c r="A162" i="8"/>
  <c r="F161" i="8"/>
  <c r="A161" i="8"/>
  <c r="F160" i="8"/>
  <c r="A160" i="8"/>
  <c r="F159" i="8"/>
  <c r="A159" i="8"/>
  <c r="F158" i="8"/>
  <c r="A158" i="8"/>
  <c r="F157" i="8"/>
  <c r="A157" i="8"/>
  <c r="F156" i="8"/>
  <c r="A156" i="8"/>
  <c r="F155" i="8"/>
  <c r="A155" i="8"/>
  <c r="F154" i="8"/>
  <c r="A154" i="8"/>
  <c r="F153" i="8"/>
  <c r="A153" i="8"/>
  <c r="F152" i="8"/>
  <c r="A152" i="8"/>
  <c r="F151" i="8"/>
  <c r="A151" i="8"/>
  <c r="F150" i="8"/>
  <c r="A150" i="8"/>
  <c r="F149" i="8"/>
  <c r="A149" i="8"/>
  <c r="F148" i="8"/>
  <c r="A148" i="8"/>
  <c r="F147" i="8"/>
  <c r="A147" i="8"/>
  <c r="F146" i="8"/>
  <c r="A146" i="8"/>
  <c r="F145" i="8"/>
  <c r="A145" i="8"/>
  <c r="F144" i="8"/>
  <c r="A144" i="8"/>
  <c r="F143" i="8"/>
  <c r="A143" i="8"/>
  <c r="F142" i="8"/>
  <c r="A142" i="8"/>
  <c r="F141" i="8"/>
  <c r="A141" i="8"/>
  <c r="F140" i="8"/>
  <c r="A140" i="8"/>
  <c r="F139" i="8"/>
  <c r="A139" i="8"/>
  <c r="F138" i="8"/>
  <c r="A138" i="8"/>
  <c r="F137" i="8"/>
  <c r="A137" i="8"/>
  <c r="F136" i="8"/>
  <c r="A136" i="8"/>
  <c r="F135" i="8"/>
  <c r="A135" i="8"/>
  <c r="F134" i="8"/>
  <c r="A134" i="8"/>
  <c r="F133" i="8"/>
  <c r="A133" i="8"/>
  <c r="F132" i="8"/>
  <c r="A132" i="8"/>
  <c r="F131" i="8"/>
  <c r="A131" i="8"/>
  <c r="F130" i="8"/>
  <c r="A130" i="8"/>
  <c r="F129" i="8"/>
  <c r="A129" i="8"/>
  <c r="F128" i="8"/>
  <c r="A128" i="8"/>
  <c r="F127" i="8"/>
  <c r="A127" i="8"/>
  <c r="F126" i="8"/>
  <c r="A126" i="8"/>
  <c r="F125" i="8"/>
  <c r="A125" i="8"/>
  <c r="F124" i="8"/>
  <c r="A124" i="8"/>
  <c r="F123" i="8"/>
  <c r="A123" i="8"/>
  <c r="F122" i="8"/>
  <c r="A122" i="8"/>
  <c r="F121" i="8"/>
  <c r="A121" i="8"/>
  <c r="F120" i="8"/>
  <c r="A120" i="8"/>
  <c r="F119" i="8"/>
  <c r="A119" i="8"/>
  <c r="F118" i="8"/>
  <c r="A118" i="8"/>
  <c r="F117" i="8"/>
  <c r="A117" i="8"/>
  <c r="F116" i="8"/>
  <c r="A116" i="8"/>
  <c r="F115" i="8"/>
  <c r="A115" i="8"/>
  <c r="F114" i="8"/>
  <c r="A114" i="8"/>
  <c r="F113" i="8"/>
  <c r="A113" i="8"/>
  <c r="F112" i="8"/>
  <c r="A112" i="8"/>
  <c r="F111" i="8"/>
  <c r="A111" i="8"/>
  <c r="F110" i="8"/>
  <c r="A110" i="8"/>
  <c r="F109" i="8"/>
  <c r="A109" i="8"/>
  <c r="F108" i="8"/>
  <c r="A108" i="8"/>
  <c r="F107" i="8"/>
  <c r="A107" i="8"/>
  <c r="F106" i="8"/>
  <c r="A106" i="8"/>
  <c r="F105" i="8"/>
  <c r="A105" i="8"/>
  <c r="F104" i="8"/>
  <c r="A104" i="8"/>
  <c r="F103" i="8"/>
  <c r="A103" i="8"/>
  <c r="F102" i="8"/>
  <c r="A102" i="8"/>
  <c r="F101" i="8"/>
  <c r="A101" i="8"/>
  <c r="F100" i="8"/>
  <c r="F99" i="8"/>
  <c r="A99" i="8"/>
  <c r="F98" i="8"/>
  <c r="A98" i="8"/>
  <c r="F97" i="8"/>
  <c r="A97" i="8"/>
  <c r="F96" i="8"/>
  <c r="F95" i="8"/>
  <c r="A95" i="8"/>
  <c r="F94" i="8"/>
  <c r="A94" i="8"/>
  <c r="F93" i="8"/>
  <c r="A93" i="8"/>
  <c r="F92" i="8"/>
  <c r="A92" i="8"/>
  <c r="F91" i="8"/>
  <c r="A91" i="8"/>
  <c r="F90" i="8"/>
  <c r="A90" i="8"/>
  <c r="F89" i="8"/>
  <c r="A89" i="8"/>
  <c r="F88" i="8"/>
  <c r="A88" i="8"/>
  <c r="F87" i="8"/>
  <c r="A87" i="8"/>
  <c r="F86" i="8"/>
  <c r="A86" i="8"/>
  <c r="F85" i="8"/>
  <c r="A85" i="8"/>
  <c r="F84" i="8"/>
  <c r="A84" i="8"/>
  <c r="F83" i="8"/>
  <c r="A83" i="8"/>
  <c r="F82" i="8"/>
  <c r="A82" i="8"/>
  <c r="F81" i="8"/>
  <c r="A81" i="8"/>
  <c r="F80" i="8"/>
  <c r="A80" i="8"/>
  <c r="F79" i="8"/>
  <c r="A79" i="8"/>
  <c r="F78" i="8"/>
  <c r="A78" i="8"/>
  <c r="F77" i="8"/>
  <c r="A77" i="8"/>
  <c r="F76" i="8"/>
  <c r="A76" i="8"/>
  <c r="F75" i="8"/>
  <c r="A75" i="8"/>
  <c r="F74" i="8"/>
  <c r="A74" i="8"/>
  <c r="F73" i="8"/>
  <c r="A73" i="8"/>
  <c r="F72" i="8"/>
  <c r="A72" i="8"/>
  <c r="F71" i="8"/>
  <c r="A71" i="8"/>
  <c r="F70" i="8"/>
  <c r="A70" i="8"/>
  <c r="F69" i="8"/>
  <c r="A69" i="8"/>
  <c r="F68" i="8"/>
  <c r="A68" i="8"/>
  <c r="F67" i="8"/>
  <c r="A67" i="8"/>
  <c r="F66" i="8"/>
  <c r="A66" i="8"/>
  <c r="F65" i="8"/>
  <c r="A65" i="8"/>
  <c r="F64" i="8"/>
  <c r="A64" i="8"/>
  <c r="F63" i="8"/>
  <c r="A63" i="8"/>
  <c r="F62" i="8"/>
  <c r="A62" i="8"/>
  <c r="F61" i="8"/>
  <c r="A61" i="8"/>
  <c r="F60" i="8"/>
  <c r="A60" i="8"/>
  <c r="F59" i="8"/>
  <c r="A59" i="8"/>
  <c r="F58" i="8"/>
  <c r="A58" i="8"/>
  <c r="F57" i="8"/>
  <c r="A57" i="8"/>
  <c r="F56" i="8"/>
  <c r="A56" i="8"/>
  <c r="F55" i="8"/>
  <c r="A55" i="8"/>
  <c r="F54" i="8"/>
  <c r="A54" i="8"/>
  <c r="F53" i="8"/>
  <c r="A53" i="8"/>
  <c r="F52" i="8"/>
  <c r="A52" i="8"/>
  <c r="F51" i="8"/>
  <c r="A51" i="8"/>
  <c r="F50" i="8"/>
  <c r="A50" i="8"/>
  <c r="F49" i="8"/>
  <c r="A49" i="8"/>
  <c r="F48" i="8"/>
  <c r="A48" i="8"/>
  <c r="F47" i="8"/>
  <c r="A47" i="8"/>
  <c r="F46" i="8"/>
  <c r="A46" i="8"/>
  <c r="F45" i="8"/>
  <c r="A45" i="8"/>
  <c r="F44" i="8"/>
  <c r="A44" i="8"/>
  <c r="F43" i="8"/>
  <c r="A43" i="8"/>
  <c r="F42" i="8"/>
  <c r="A42" i="8"/>
  <c r="F41" i="8"/>
  <c r="A41" i="8"/>
  <c r="F40" i="8"/>
  <c r="A40" i="8"/>
  <c r="F39" i="8"/>
  <c r="A39" i="8"/>
  <c r="F38" i="8"/>
  <c r="A38" i="8"/>
  <c r="F37" i="8"/>
  <c r="A37" i="8"/>
  <c r="F36" i="8"/>
  <c r="A36" i="8"/>
  <c r="F35" i="8"/>
  <c r="A35" i="8"/>
  <c r="F34" i="8"/>
  <c r="A34" i="8"/>
  <c r="F33" i="8"/>
  <c r="A33" i="8"/>
  <c r="F32" i="8"/>
  <c r="A32" i="8"/>
  <c r="F31" i="8"/>
  <c r="A31" i="8"/>
  <c r="F30" i="8"/>
  <c r="A30" i="8"/>
  <c r="F29" i="8"/>
  <c r="A29" i="8"/>
  <c r="F28" i="8"/>
  <c r="A28" i="8"/>
  <c r="F27" i="8"/>
  <c r="A27" i="8"/>
  <c r="F26" i="8"/>
  <c r="A26" i="8"/>
  <c r="F25" i="8"/>
  <c r="A25" i="8"/>
  <c r="F24" i="8"/>
  <c r="A24" i="8"/>
  <c r="F23" i="8"/>
  <c r="A23" i="8"/>
  <c r="F22" i="8"/>
  <c r="A22" i="8"/>
  <c r="F21" i="8"/>
  <c r="A21" i="8"/>
  <c r="F20" i="8"/>
  <c r="A20" i="8"/>
  <c r="F19" i="8"/>
  <c r="A19" i="8"/>
  <c r="F18" i="8"/>
  <c r="A18" i="8"/>
  <c r="F17" i="8"/>
  <c r="A17" i="8"/>
  <c r="F16" i="8"/>
  <c r="A16" i="8"/>
  <c r="F15" i="8"/>
  <c r="A15" i="8"/>
  <c r="F14" i="8"/>
  <c r="A14" i="8"/>
  <c r="F13" i="8"/>
  <c r="A13" i="8"/>
  <c r="F12" i="8"/>
  <c r="A12" i="8"/>
  <c r="F11" i="8"/>
  <c r="A11" i="8"/>
  <c r="F10" i="8"/>
  <c r="A10" i="8"/>
  <c r="F9" i="8"/>
  <c r="A9" i="8"/>
  <c r="F8" i="8"/>
  <c r="A8" i="8"/>
  <c r="F7" i="8"/>
  <c r="A7" i="8"/>
  <c r="F6" i="8"/>
  <c r="A6" i="8"/>
  <c r="F5" i="8"/>
  <c r="A5" i="8"/>
  <c r="F4" i="8"/>
  <c r="A4" i="8"/>
  <c r="F3" i="8"/>
  <c r="A3" i="8"/>
  <c r="F2" i="8"/>
  <c r="A2" i="8"/>
  <c r="R198" i="5"/>
  <c r="R197" i="5"/>
  <c r="R196" i="5"/>
  <c r="R195" i="5"/>
  <c r="R194" i="5"/>
  <c r="R193" i="5"/>
  <c r="R192" i="5"/>
  <c r="R191" i="5"/>
  <c r="R190" i="5"/>
  <c r="R189" i="5"/>
  <c r="R188" i="5"/>
  <c r="R187" i="5"/>
  <c r="R186" i="5"/>
  <c r="R185" i="5"/>
  <c r="R184" i="5"/>
  <c r="R183" i="5"/>
  <c r="R182" i="5"/>
  <c r="R181" i="5"/>
  <c r="R180" i="5"/>
  <c r="R179" i="5"/>
  <c r="R178" i="5"/>
  <c r="R177" i="5"/>
  <c r="R176" i="5"/>
  <c r="R175" i="5"/>
  <c r="R174" i="5"/>
  <c r="R173" i="5"/>
  <c r="R172" i="5"/>
  <c r="R171" i="5"/>
  <c r="R170" i="5"/>
  <c r="R169" i="5"/>
  <c r="R168" i="5"/>
  <c r="R167" i="5"/>
  <c r="R166" i="5"/>
  <c r="R165" i="5"/>
  <c r="R164" i="5"/>
  <c r="R163" i="5"/>
  <c r="R162" i="5"/>
  <c r="R161" i="5"/>
  <c r="R160" i="5"/>
  <c r="R159" i="5"/>
  <c r="R158" i="5"/>
  <c r="R157" i="5"/>
  <c r="R156" i="5"/>
  <c r="R155" i="5"/>
  <c r="R154" i="5"/>
  <c r="R153" i="5"/>
  <c r="R152" i="5"/>
  <c r="R151" i="5"/>
  <c r="R150" i="5"/>
  <c r="R149" i="5"/>
  <c r="R148" i="5"/>
  <c r="R147" i="5"/>
  <c r="R146" i="5"/>
  <c r="R145" i="5"/>
  <c r="R144" i="5"/>
  <c r="R143" i="5"/>
  <c r="R142" i="5"/>
  <c r="R141" i="5"/>
  <c r="R140" i="5"/>
  <c r="R139" i="5"/>
  <c r="R138" i="5"/>
  <c r="R137" i="5"/>
  <c r="R136" i="5"/>
  <c r="R135" i="5"/>
  <c r="R134" i="5"/>
  <c r="R133" i="5"/>
  <c r="R132" i="5"/>
  <c r="R131" i="5"/>
  <c r="R130" i="5"/>
  <c r="R129" i="5"/>
  <c r="R128" i="5"/>
  <c r="R127" i="5"/>
  <c r="R126" i="5"/>
  <c r="R125" i="5"/>
  <c r="R124" i="5"/>
  <c r="R123" i="5"/>
  <c r="R122" i="5"/>
  <c r="R121" i="5"/>
  <c r="R120" i="5"/>
  <c r="R119" i="5"/>
  <c r="R118" i="5"/>
  <c r="R117" i="5"/>
  <c r="R116" i="5"/>
  <c r="R115" i="5"/>
  <c r="R114" i="5"/>
  <c r="R113" i="5"/>
  <c r="R112" i="5"/>
  <c r="R111" i="5"/>
  <c r="R110" i="5"/>
  <c r="R109" i="5"/>
  <c r="R108" i="5"/>
  <c r="R107" i="5"/>
  <c r="R106" i="5"/>
  <c r="R105" i="5"/>
  <c r="R104" i="5"/>
  <c r="R103" i="5"/>
  <c r="R102" i="5"/>
  <c r="R101" i="5"/>
  <c r="R100" i="5"/>
  <c r="R99" i="5"/>
  <c r="R98" i="5"/>
  <c r="R97" i="5"/>
  <c r="R96" i="5"/>
  <c r="R95" i="5"/>
  <c r="R94" i="5"/>
  <c r="R93" i="5"/>
  <c r="R92" i="5"/>
  <c r="R91" i="5"/>
  <c r="R90" i="5"/>
  <c r="R89" i="5"/>
  <c r="R88" i="5"/>
  <c r="R87" i="5"/>
  <c r="R86" i="5"/>
  <c r="R85" i="5"/>
  <c r="R84" i="5"/>
  <c r="R83" i="5"/>
  <c r="R82" i="5"/>
  <c r="R81" i="5"/>
  <c r="R80" i="5"/>
  <c r="R79" i="5"/>
  <c r="R78" i="5"/>
  <c r="R77" i="5"/>
  <c r="R76" i="5"/>
  <c r="R75" i="5"/>
  <c r="R74" i="5"/>
  <c r="R73" i="5"/>
  <c r="R72" i="5"/>
  <c r="R71" i="5"/>
  <c r="R70" i="5"/>
  <c r="R69" i="5"/>
  <c r="R68" i="5"/>
  <c r="R67" i="5"/>
  <c r="R66" i="5"/>
  <c r="R65" i="5"/>
  <c r="R64" i="5"/>
  <c r="R63" i="5"/>
  <c r="R62" i="5"/>
  <c r="R61" i="5"/>
  <c r="R60" i="5"/>
  <c r="R59" i="5"/>
  <c r="R58" i="5"/>
  <c r="R57" i="5"/>
  <c r="R56" i="5"/>
  <c r="R55" i="5"/>
  <c r="R54" i="5"/>
  <c r="R53" i="5"/>
  <c r="R52" i="5"/>
  <c r="R51" i="5"/>
  <c r="R50" i="5"/>
  <c r="R49" i="5"/>
  <c r="R48" i="5"/>
  <c r="R47" i="5"/>
  <c r="R46" i="5"/>
  <c r="R45" i="5"/>
  <c r="R44" i="5"/>
  <c r="R43" i="5"/>
  <c r="R42" i="5"/>
  <c r="R41" i="5"/>
  <c r="R40" i="5"/>
  <c r="R39" i="5"/>
  <c r="R38" i="5"/>
  <c r="R37" i="5"/>
  <c r="R36" i="5"/>
  <c r="R35" i="5"/>
  <c r="R34" i="5"/>
  <c r="R33" i="5"/>
  <c r="R32" i="5"/>
  <c r="R31" i="5"/>
  <c r="R30" i="5"/>
  <c r="R29" i="5"/>
  <c r="R28" i="5"/>
  <c r="R27" i="5"/>
  <c r="R26" i="5"/>
  <c r="R25" i="5"/>
  <c r="R24" i="5"/>
  <c r="R23" i="5"/>
  <c r="R22" i="5"/>
  <c r="R21" i="5"/>
  <c r="R20" i="5"/>
  <c r="R19" i="5"/>
  <c r="R18" i="5"/>
  <c r="R17" i="5"/>
  <c r="R16" i="5"/>
  <c r="R15" i="5"/>
  <c r="R14" i="5"/>
  <c r="R13" i="5"/>
  <c r="R12" i="5"/>
  <c r="R11" i="5"/>
  <c r="R10" i="5"/>
  <c r="R9" i="5"/>
  <c r="R8" i="5"/>
  <c r="R7" i="5"/>
  <c r="R6" i="5"/>
  <c r="R5" i="5"/>
  <c r="R4" i="5"/>
  <c r="R3" i="5"/>
  <c r="BG325" i="2"/>
  <c r="BF325" i="2"/>
  <c r="BE325" i="2"/>
  <c r="BF324" i="2"/>
  <c r="BD324" i="2"/>
  <c r="AX324" i="2"/>
  <c r="AN324" i="2"/>
  <c r="AM324" i="2"/>
  <c r="AE324" i="2"/>
  <c r="AA324" i="2"/>
  <c r="AB324" i="2" s="1"/>
  <c r="BG324" i="2" s="1"/>
  <c r="P324" i="2"/>
  <c r="BE324" i="2" s="1"/>
  <c r="BF323" i="2"/>
  <c r="BD323" i="2"/>
  <c r="AX323" i="2"/>
  <c r="AN323" i="2"/>
  <c r="AM323" i="2"/>
  <c r="AE323" i="2"/>
  <c r="AA323" i="2"/>
  <c r="AB323" i="2" s="1"/>
  <c r="BG323" i="2" s="1"/>
  <c r="P323" i="2"/>
  <c r="BE323" i="2" s="1"/>
  <c r="H323" i="2"/>
  <c r="G323" i="2"/>
  <c r="BD322" i="2"/>
  <c r="AX322" i="2"/>
  <c r="BF322" i="2" s="1"/>
  <c r="AA322" i="2"/>
  <c r="AB322" i="2" s="1"/>
  <c r="BG322" i="2" s="1"/>
  <c r="R322" i="2"/>
  <c r="P322" i="2"/>
  <c r="BE322" i="2" s="1"/>
  <c r="G322" i="2"/>
  <c r="BE321" i="2"/>
  <c r="BD321" i="2"/>
  <c r="AX321" i="2"/>
  <c r="BF321" i="2" s="1"/>
  <c r="AU321" i="2"/>
  <c r="AR321" i="2"/>
  <c r="AQ321" i="2"/>
  <c r="AE321" i="2"/>
  <c r="AA321" i="2"/>
  <c r="AB321" i="2" s="1"/>
  <c r="BG321" i="2" s="1"/>
  <c r="P321" i="2"/>
  <c r="H321" i="2"/>
  <c r="G321" i="2"/>
  <c r="BF320" i="2"/>
  <c r="AN320" i="2"/>
  <c r="AE320" i="2"/>
  <c r="AB320" i="2"/>
  <c r="R320" i="2"/>
  <c r="Q320" i="2"/>
  <c r="P320" i="2"/>
  <c r="BE320" i="2" s="1"/>
  <c r="N320" i="2"/>
  <c r="M320" i="2"/>
  <c r="H320" i="2"/>
  <c r="AZ319" i="2"/>
  <c r="BD319" i="2" s="1"/>
  <c r="AX319" i="2"/>
  <c r="BF319" i="2" s="1"/>
  <c r="R319" i="2"/>
  <c r="L319" i="2"/>
  <c r="P319" i="2" s="1"/>
  <c r="K319" i="2"/>
  <c r="G319" i="2"/>
  <c r="BF318" i="2"/>
  <c r="BE318" i="2"/>
  <c r="AN318" i="2"/>
  <c r="AE318" i="2"/>
  <c r="AB318" i="2"/>
  <c r="BG318" i="2" s="1"/>
  <c r="AA318" i="2"/>
  <c r="Q318" i="2"/>
  <c r="P318" i="2"/>
  <c r="BF317" i="2"/>
  <c r="R317" i="2"/>
  <c r="P317" i="2"/>
  <c r="BE317" i="2" s="1"/>
  <c r="BF316" i="2"/>
  <c r="BD316" i="2"/>
  <c r="AX316" i="2"/>
  <c r="AB316" i="2"/>
  <c r="BG316" i="2" s="1"/>
  <c r="W316" i="2"/>
  <c r="P316" i="2"/>
  <c r="BE316" i="2" s="1"/>
  <c r="L316" i="2"/>
  <c r="BG315" i="2"/>
  <c r="BF315" i="2"/>
  <c r="BE315" i="2"/>
  <c r="P315" i="2"/>
  <c r="H315" i="2"/>
  <c r="BG314" i="2"/>
  <c r="BF314" i="2"/>
  <c r="BE314" i="2"/>
  <c r="Q314" i="2"/>
  <c r="BF313" i="2"/>
  <c r="O313" i="2"/>
  <c r="N313" i="2"/>
  <c r="P313" i="2" s="1"/>
  <c r="M313" i="2"/>
  <c r="BF312" i="2"/>
  <c r="O312" i="2"/>
  <c r="P312" i="2" s="1"/>
  <c r="BF311" i="2"/>
  <c r="BD311" i="2"/>
  <c r="AX311" i="2"/>
  <c r="AN311" i="2"/>
  <c r="AE311" i="2"/>
  <c r="AB311" i="2"/>
  <c r="BG311" i="2" s="1"/>
  <c r="AA311" i="2"/>
  <c r="R311" i="2"/>
  <c r="P311" i="2"/>
  <c r="BE311" i="2" s="1"/>
  <c r="H311" i="2"/>
  <c r="G311" i="2"/>
  <c r="BF310" i="2"/>
  <c r="Q310" i="2"/>
  <c r="P310" i="2"/>
  <c r="BE310" i="2" s="1"/>
  <c r="BF309" i="2"/>
  <c r="BD309" i="2"/>
  <c r="AX309" i="2"/>
  <c r="AN309" i="2"/>
  <c r="AM309" i="2"/>
  <c r="AE309" i="2"/>
  <c r="AA309" i="2"/>
  <c r="AB309" i="2" s="1"/>
  <c r="BG309" i="2" s="1"/>
  <c r="P309" i="2"/>
  <c r="BE309" i="2" s="1"/>
  <c r="H309" i="2"/>
  <c r="G309" i="2"/>
  <c r="BF308" i="2"/>
  <c r="O308" i="2"/>
  <c r="P308" i="2" s="1"/>
  <c r="BG308" i="2" s="1"/>
  <c r="N308" i="2"/>
  <c r="BD307" i="2"/>
  <c r="AX307" i="2"/>
  <c r="BF307" i="2" s="1"/>
  <c r="AR307" i="2"/>
  <c r="AQ307" i="2"/>
  <c r="BE307" i="2" s="1"/>
  <c r="AA307" i="2"/>
  <c r="AB307" i="2" s="1"/>
  <c r="BG307" i="2" s="1"/>
  <c r="P307" i="2"/>
  <c r="R307" i="2" s="1"/>
  <c r="BF306" i="2"/>
  <c r="BD306" i="2"/>
  <c r="AX306" i="2"/>
  <c r="R306" i="2"/>
  <c r="N306" i="2"/>
  <c r="P306" i="2" s="1"/>
  <c r="G306" i="2"/>
  <c r="BG305" i="2"/>
  <c r="BF305" i="2"/>
  <c r="AA305" i="2"/>
  <c r="AB305" i="2" s="1"/>
  <c r="P305" i="2"/>
  <c r="R305" i="2" s="1"/>
  <c r="L305" i="2"/>
  <c r="BF304" i="2"/>
  <c r="AN304" i="2"/>
  <c r="AM304" i="2"/>
  <c r="AE304" i="2"/>
  <c r="X304" i="2"/>
  <c r="P304" i="2"/>
  <c r="R304" i="2" s="1"/>
  <c r="O304" i="2"/>
  <c r="BG303" i="2"/>
  <c r="BF303" i="2"/>
  <c r="P303" i="2"/>
  <c r="G303" i="2"/>
  <c r="BF302" i="2"/>
  <c r="BE302" i="2"/>
  <c r="P302" i="2"/>
  <c r="R302" i="2" s="1"/>
  <c r="O302" i="2"/>
  <c r="BG301" i="2"/>
  <c r="BE301" i="2"/>
  <c r="BD301" i="2"/>
  <c r="AX301" i="2"/>
  <c r="BF301" i="2" s="1"/>
  <c r="AN301" i="2"/>
  <c r="AM301" i="2"/>
  <c r="AE301" i="2"/>
  <c r="AB301" i="2"/>
  <c r="AA301" i="2"/>
  <c r="R301" i="2"/>
  <c r="P301" i="2"/>
  <c r="H301" i="2"/>
  <c r="G301" i="2"/>
  <c r="BE300" i="2"/>
  <c r="BD300" i="2"/>
  <c r="AX300" i="2"/>
  <c r="BF300" i="2" s="1"/>
  <c r="AA300" i="2"/>
  <c r="AB300" i="2" s="1"/>
  <c r="BG300" i="2" s="1"/>
  <c r="P300" i="2"/>
  <c r="R300" i="2" s="1"/>
  <c r="H300" i="2"/>
  <c r="BG299" i="2"/>
  <c r="BF299" i="2"/>
  <c r="P299" i="2"/>
  <c r="O299" i="2"/>
  <c r="N299" i="2"/>
  <c r="BF298" i="2"/>
  <c r="BD298" i="2"/>
  <c r="BA298" i="2"/>
  <c r="AX298" i="2"/>
  <c r="AU298" i="2"/>
  <c r="R298" i="2"/>
  <c r="P298" i="2"/>
  <c r="BE298" i="2" s="1"/>
  <c r="H298" i="2"/>
  <c r="G298" i="2"/>
  <c r="BF297" i="2"/>
  <c r="AA297" i="2"/>
  <c r="AB297" i="2" s="1"/>
  <c r="P297" i="2"/>
  <c r="R297" i="2" s="1"/>
  <c r="H297" i="2"/>
  <c r="BF296" i="2"/>
  <c r="BE296" i="2"/>
  <c r="P296" i="2"/>
  <c r="R296" i="2" s="1"/>
  <c r="L296" i="2"/>
  <c r="BG295" i="2"/>
  <c r="BD295" i="2"/>
  <c r="AX295" i="2"/>
  <c r="BF295" i="2" s="1"/>
  <c r="P295" i="2"/>
  <c r="R295" i="2" s="1"/>
  <c r="N295" i="2"/>
  <c r="G295" i="2"/>
  <c r="BF294" i="2"/>
  <c r="BD294" i="2"/>
  <c r="AX294" i="2"/>
  <c r="AR294" i="2"/>
  <c r="AQ294" i="2"/>
  <c r="BE294" i="2" s="1"/>
  <c r="AN294" i="2"/>
  <c r="AM294" i="2"/>
  <c r="AE294" i="2"/>
  <c r="AA294" i="2"/>
  <c r="AB294" i="2" s="1"/>
  <c r="BG294" i="2" s="1"/>
  <c r="P294" i="2"/>
  <c r="R294" i="2" s="1"/>
  <c r="G294" i="2"/>
  <c r="BG293" i="2"/>
  <c r="BF293" i="2"/>
  <c r="P293" i="2"/>
  <c r="R293" i="2" s="1"/>
  <c r="O293" i="2"/>
  <c r="BG292" i="2"/>
  <c r="BF292" i="2"/>
  <c r="BE292" i="2"/>
  <c r="AN292" i="2"/>
  <c r="AM292" i="2"/>
  <c r="AE292" i="2"/>
  <c r="R292" i="2"/>
  <c r="P292" i="2"/>
  <c r="BG291" i="2"/>
  <c r="BE291" i="2"/>
  <c r="BD291" i="2"/>
  <c r="AX291" i="2"/>
  <c r="BF291" i="2" s="1"/>
  <c r="AN291" i="2"/>
  <c r="AM291" i="2"/>
  <c r="AE291" i="2"/>
  <c r="AB291" i="2"/>
  <c r="AA291" i="2"/>
  <c r="R291" i="2"/>
  <c r="P291" i="2"/>
  <c r="H291" i="2"/>
  <c r="G291" i="2"/>
  <c r="BF290" i="2"/>
  <c r="P290" i="2"/>
  <c r="R290" i="2" s="1"/>
  <c r="BF289" i="2"/>
  <c r="BD289" i="2"/>
  <c r="AX289" i="2"/>
  <c r="AB289" i="2"/>
  <c r="BG289" i="2" s="1"/>
  <c r="AA289" i="2"/>
  <c r="R289" i="2"/>
  <c r="P289" i="2"/>
  <c r="BE289" i="2" s="1"/>
  <c r="H289" i="2"/>
  <c r="G289" i="2"/>
  <c r="BF288" i="2"/>
  <c r="BE288" i="2"/>
  <c r="AA288" i="2"/>
  <c r="AB288" i="2" s="1"/>
  <c r="L288" i="2"/>
  <c r="P288" i="2" s="1"/>
  <c r="BG288" i="2" s="1"/>
  <c r="BF287" i="2"/>
  <c r="BD287" i="2"/>
  <c r="AB287" i="2"/>
  <c r="P287" i="2"/>
  <c r="BE287" i="2" s="1"/>
  <c r="L287" i="2"/>
  <c r="BF286" i="2"/>
  <c r="BE286" i="2"/>
  <c r="BD286" i="2"/>
  <c r="AB286" i="2"/>
  <c r="BG286" i="2" s="1"/>
  <c r="N286" i="2"/>
  <c r="P286" i="2" s="1"/>
  <c r="G286" i="2"/>
  <c r="BF285" i="2"/>
  <c r="BE285" i="2"/>
  <c r="BD285" i="2"/>
  <c r="AB285" i="2"/>
  <c r="BG285" i="2" s="1"/>
  <c r="P285" i="2"/>
  <c r="G285" i="2"/>
  <c r="BF284" i="2"/>
  <c r="AB284" i="2"/>
  <c r="BG284" i="2" s="1"/>
  <c r="P284" i="2"/>
  <c r="BE284" i="2" s="1"/>
  <c r="G284" i="2"/>
  <c r="BF283" i="2"/>
  <c r="BD283" i="2"/>
  <c r="AB283" i="2"/>
  <c r="BG283" i="2" s="1"/>
  <c r="P283" i="2"/>
  <c r="BE283" i="2" s="1"/>
  <c r="L283" i="2"/>
  <c r="BD282" i="2"/>
  <c r="AX282" i="2"/>
  <c r="BF282" i="2" s="1"/>
  <c r="AB282" i="2"/>
  <c r="P282" i="2"/>
  <c r="BG282" i="2" s="1"/>
  <c r="BF281" i="2"/>
  <c r="BD281" i="2"/>
  <c r="AB281" i="2"/>
  <c r="P281" i="2"/>
  <c r="BE281" i="2" s="1"/>
  <c r="L281" i="2"/>
  <c r="G281" i="2"/>
  <c r="BF280" i="2"/>
  <c r="BD280" i="2"/>
  <c r="AN280" i="2"/>
  <c r="AM280" i="2"/>
  <c r="AE280" i="2"/>
  <c r="AB280" i="2"/>
  <c r="BG280" i="2" s="1"/>
  <c r="AA280" i="2"/>
  <c r="P280" i="2"/>
  <c r="BE280" i="2" s="1"/>
  <c r="N280" i="2"/>
  <c r="BE279" i="2"/>
  <c r="BD279" i="2"/>
  <c r="AX279" i="2"/>
  <c r="BF279" i="2" s="1"/>
  <c r="AA279" i="2"/>
  <c r="AB279" i="2" s="1"/>
  <c r="BG279" i="2" s="1"/>
  <c r="P279" i="2"/>
  <c r="H279" i="2"/>
  <c r="G279" i="2"/>
  <c r="BG278" i="2"/>
  <c r="BD278" i="2"/>
  <c r="AX278" i="2"/>
  <c r="BF278" i="2" s="1"/>
  <c r="AB278" i="2"/>
  <c r="P278" i="2"/>
  <c r="BE278" i="2" s="1"/>
  <c r="N278" i="2"/>
  <c r="BF277" i="2"/>
  <c r="BD277" i="2"/>
  <c r="P277" i="2"/>
  <c r="BE277" i="2" s="1"/>
  <c r="O277" i="2"/>
  <c r="L277" i="2"/>
  <c r="G277" i="2"/>
  <c r="BD276" i="2"/>
  <c r="AX276" i="2"/>
  <c r="BF276" i="2" s="1"/>
  <c r="AB276" i="2"/>
  <c r="P276" i="2"/>
  <c r="BG276" i="2" s="1"/>
  <c r="BF275" i="2"/>
  <c r="BD275" i="2"/>
  <c r="AX275" i="2"/>
  <c r="AB275" i="2"/>
  <c r="BG275" i="2" s="1"/>
  <c r="P275" i="2"/>
  <c r="BE275" i="2" s="1"/>
  <c r="BD274" i="2"/>
  <c r="AX274" i="2"/>
  <c r="BF274" i="2" s="1"/>
  <c r="AB274" i="2"/>
  <c r="P274" i="2"/>
  <c r="BG274" i="2" s="1"/>
  <c r="O274" i="2"/>
  <c r="L274" i="2"/>
  <c r="BF273" i="2"/>
  <c r="BD273" i="2"/>
  <c r="AX273" i="2"/>
  <c r="AB273" i="2"/>
  <c r="BG273" i="2" s="1"/>
  <c r="P273" i="2"/>
  <c r="BE273" i="2" s="1"/>
  <c r="BG272" i="2"/>
  <c r="BE272" i="2"/>
  <c r="BD272" i="2"/>
  <c r="AX272" i="2"/>
  <c r="BF272" i="2" s="1"/>
  <c r="AB272" i="2"/>
  <c r="Q272" i="2"/>
  <c r="N272" i="2"/>
  <c r="P272" i="2" s="1"/>
  <c r="BF271" i="2"/>
  <c r="BD271" i="2"/>
  <c r="AX271" i="2"/>
  <c r="AB271" i="2"/>
  <c r="AA271" i="2"/>
  <c r="P271" i="2"/>
  <c r="BE271" i="2" s="1"/>
  <c r="O271" i="2"/>
  <c r="N271" i="2"/>
  <c r="BF270" i="2"/>
  <c r="BD270" i="2"/>
  <c r="AA270" i="2"/>
  <c r="AB270" i="2" s="1"/>
  <c r="BG270" i="2" s="1"/>
  <c r="N270" i="2"/>
  <c r="P270" i="2" s="1"/>
  <c r="BE270" i="2" s="1"/>
  <c r="BF269" i="2"/>
  <c r="BD269" i="2"/>
  <c r="AB269" i="2"/>
  <c r="O269" i="2"/>
  <c r="N269" i="2"/>
  <c r="P269" i="2" s="1"/>
  <c r="BE269" i="2" s="1"/>
  <c r="G269" i="2"/>
  <c r="BD268" i="2"/>
  <c r="AX268" i="2"/>
  <c r="BF268" i="2" s="1"/>
  <c r="AB268" i="2"/>
  <c r="P268" i="2"/>
  <c r="BG268" i="2" s="1"/>
  <c r="H268" i="2"/>
  <c r="G268" i="2"/>
  <c r="BF267" i="2"/>
  <c r="BD267" i="2"/>
  <c r="AX267" i="2"/>
  <c r="AB267" i="2"/>
  <c r="BG267" i="2" s="1"/>
  <c r="AA267" i="2"/>
  <c r="P267" i="2"/>
  <c r="BE267" i="2" s="1"/>
  <c r="H267" i="2"/>
  <c r="G267" i="2"/>
  <c r="BF266" i="2"/>
  <c r="BD266" i="2"/>
  <c r="AX266" i="2"/>
  <c r="AN266" i="2"/>
  <c r="AM266" i="2"/>
  <c r="AE266" i="2"/>
  <c r="AA266" i="2"/>
  <c r="AB266" i="2" s="1"/>
  <c r="L266" i="2"/>
  <c r="P266" i="2" s="1"/>
  <c r="BE266" i="2" s="1"/>
  <c r="BF265" i="2"/>
  <c r="BD265" i="2"/>
  <c r="AX265" i="2"/>
  <c r="AB265" i="2"/>
  <c r="BG265" i="2" s="1"/>
  <c r="AA265" i="2"/>
  <c r="P265" i="2"/>
  <c r="BE265" i="2" s="1"/>
  <c r="BF264" i="2"/>
  <c r="BD264" i="2"/>
  <c r="AX264" i="2"/>
  <c r="AR264" i="2"/>
  <c r="AQ264" i="2"/>
  <c r="BE264" i="2" s="1"/>
  <c r="AB264" i="2"/>
  <c r="BG264" i="2" s="1"/>
  <c r="AA264" i="2"/>
  <c r="P264" i="2"/>
  <c r="G264" i="2"/>
  <c r="BG263" i="2"/>
  <c r="BE263" i="2"/>
  <c r="BD263" i="2"/>
  <c r="AX263" i="2"/>
  <c r="BF263" i="2" s="1"/>
  <c r="AN263" i="2"/>
  <c r="AM263" i="2"/>
  <c r="AE263" i="2"/>
  <c r="AB263" i="2"/>
  <c r="AA263" i="2"/>
  <c r="BE262" i="2"/>
  <c r="AU262" i="2"/>
  <c r="AX262" i="2" s="1"/>
  <c r="BF262" i="2" s="1"/>
  <c r="AA262" i="2"/>
  <c r="P262" i="2"/>
  <c r="BG262" i="2" s="1"/>
  <c r="BF261" i="2"/>
  <c r="BD261" i="2"/>
  <c r="AX261" i="2"/>
  <c r="P261" i="2"/>
  <c r="BF260" i="2"/>
  <c r="P260" i="2"/>
  <c r="BG259" i="2"/>
  <c r="BF259" i="2"/>
  <c r="BE259" i="2"/>
  <c r="BG258" i="2"/>
  <c r="BE258" i="2"/>
  <c r="BD258" i="2"/>
  <c r="AX258" i="2"/>
  <c r="BF258" i="2" s="1"/>
  <c r="P258" i="2"/>
  <c r="G258" i="2"/>
  <c r="BF257" i="2"/>
  <c r="BD257" i="2"/>
  <c r="AX257" i="2"/>
  <c r="P257" i="2"/>
  <c r="G257" i="2"/>
  <c r="BG256" i="2"/>
  <c r="BF256" i="2"/>
  <c r="BE256" i="2"/>
  <c r="N256" i="2"/>
  <c r="P256" i="2" s="1"/>
  <c r="BF255" i="2"/>
  <c r="BD255" i="2"/>
  <c r="AX255" i="2"/>
  <c r="P255" i="2"/>
  <c r="BF254" i="2"/>
  <c r="P254" i="2"/>
  <c r="BG253" i="2"/>
  <c r="BF253" i="2"/>
  <c r="BE253" i="2"/>
  <c r="AA253" i="2"/>
  <c r="BF252" i="2"/>
  <c r="BD252" i="2"/>
  <c r="AX252" i="2"/>
  <c r="P252" i="2"/>
  <c r="G252" i="2"/>
  <c r="BG251" i="2"/>
  <c r="BF251" i="2"/>
  <c r="BE251" i="2"/>
  <c r="G251" i="2"/>
  <c r="BG250" i="2"/>
  <c r="BF250" i="2"/>
  <c r="BE250" i="2"/>
  <c r="BF249" i="2"/>
  <c r="P249" i="2"/>
  <c r="N249" i="2"/>
  <c r="BD248" i="2"/>
  <c r="AX248" i="2"/>
  <c r="BF248" i="2" s="1"/>
  <c r="AA248" i="2"/>
  <c r="P248" i="2"/>
  <c r="BG248" i="2" s="1"/>
  <c r="H248" i="2"/>
  <c r="G248" i="2"/>
  <c r="BF247" i="2"/>
  <c r="P247" i="2"/>
  <c r="N247" i="2"/>
  <c r="BG246" i="2"/>
  <c r="BF246" i="2"/>
  <c r="BE246" i="2"/>
  <c r="O246" i="2"/>
  <c r="P246" i="2" s="1"/>
  <c r="N246" i="2"/>
  <c r="BF245" i="2"/>
  <c r="AA245" i="2"/>
  <c r="P245" i="2"/>
  <c r="BE245" i="2" s="1"/>
  <c r="O245" i="2"/>
  <c r="N245" i="2"/>
  <c r="BF244" i="2"/>
  <c r="AE244" i="2"/>
  <c r="AA244" i="2"/>
  <c r="P244" i="2"/>
  <c r="N244" i="2"/>
  <c r="BG243" i="2"/>
  <c r="BF243" i="2"/>
  <c r="O243" i="2"/>
  <c r="P243" i="2" s="1"/>
  <c r="BE243" i="2" s="1"/>
  <c r="N243" i="2"/>
  <c r="BG242" i="2"/>
  <c r="BF242" i="2"/>
  <c r="BE242" i="2"/>
  <c r="P242" i="2"/>
  <c r="G242" i="2"/>
  <c r="BF241" i="2"/>
  <c r="O241" i="2"/>
  <c r="N241" i="2"/>
  <c r="P241" i="2" s="1"/>
  <c r="BG240" i="2"/>
  <c r="BF240" i="2"/>
  <c r="BE240" i="2"/>
  <c r="BF239" i="2"/>
  <c r="AA239" i="2"/>
  <c r="P239" i="2"/>
  <c r="BE239" i="2" s="1"/>
  <c r="N239" i="2"/>
  <c r="BG238" i="2"/>
  <c r="BF238" i="2"/>
  <c r="BE238" i="2"/>
  <c r="BG237" i="2"/>
  <c r="BF237" i="2"/>
  <c r="BE237" i="2"/>
  <c r="BG236" i="2"/>
  <c r="BF236" i="2"/>
  <c r="BE236" i="2"/>
  <c r="BF235" i="2"/>
  <c r="BD235" i="2"/>
  <c r="AU235" i="2"/>
  <c r="AX235" i="2" s="1"/>
  <c r="P235" i="2"/>
  <c r="BG235" i="2" s="1"/>
  <c r="BG234" i="2"/>
  <c r="BE234" i="2"/>
  <c r="BD234" i="2"/>
  <c r="AX234" i="2"/>
  <c r="BF234" i="2" s="1"/>
  <c r="AN234" i="2"/>
  <c r="AE234" i="2"/>
  <c r="AA234" i="2"/>
  <c r="P234" i="2"/>
  <c r="BG233" i="2"/>
  <c r="BF233" i="2"/>
  <c r="BE233" i="2"/>
  <c r="BG232" i="2"/>
  <c r="BF232" i="2"/>
  <c r="BE232" i="2"/>
  <c r="BG231" i="2"/>
  <c r="BF231" i="2"/>
  <c r="BE231" i="2"/>
  <c r="H231" i="2"/>
  <c r="G231" i="2"/>
  <c r="BG230" i="2"/>
  <c r="BE230" i="2"/>
  <c r="BD230" i="2"/>
  <c r="AX230" i="2"/>
  <c r="BF230" i="2" s="1"/>
  <c r="AM230" i="2"/>
  <c r="AE230" i="2"/>
  <c r="AB230" i="2"/>
  <c r="P230" i="2"/>
  <c r="H230" i="2"/>
  <c r="G230" i="2"/>
  <c r="BF229" i="2"/>
  <c r="AE229" i="2"/>
  <c r="AB229" i="2"/>
  <c r="BG229" i="2" s="1"/>
  <c r="Q229" i="2"/>
  <c r="P229" i="2"/>
  <c r="BE229" i="2" s="1"/>
  <c r="BG228" i="2"/>
  <c r="BE228" i="2"/>
  <c r="BD228" i="2"/>
  <c r="AX228" i="2"/>
  <c r="BF228" i="2" s="1"/>
  <c r="P228" i="2"/>
  <c r="K228" i="2"/>
  <c r="J228" i="2"/>
  <c r="H228" i="2"/>
  <c r="G228" i="2"/>
  <c r="BD227" i="2"/>
  <c r="AX227" i="2"/>
  <c r="BF227" i="2" s="1"/>
  <c r="AB227" i="2"/>
  <c r="P227" i="2"/>
  <c r="BG227" i="2" s="1"/>
  <c r="BF226" i="2"/>
  <c r="BD226" i="2"/>
  <c r="AX226" i="2"/>
  <c r="AB226" i="2"/>
  <c r="BG226" i="2" s="1"/>
  <c r="P226" i="2"/>
  <c r="BE226" i="2" s="1"/>
  <c r="BG225" i="2"/>
  <c r="BF225" i="2"/>
  <c r="BE225" i="2"/>
  <c r="P225" i="2"/>
  <c r="BG224" i="2"/>
  <c r="BF224" i="2"/>
  <c r="BE224" i="2"/>
  <c r="P224" i="2"/>
  <c r="BF223" i="2"/>
  <c r="AB223" i="2"/>
  <c r="O223" i="2"/>
  <c r="N223" i="2"/>
  <c r="P223" i="2" s="1"/>
  <c r="BF222" i="2"/>
  <c r="Q222" i="2"/>
  <c r="O222" i="2"/>
  <c r="P222" i="2" s="1"/>
  <c r="BF221" i="2"/>
  <c r="BD221" i="2"/>
  <c r="AX221" i="2"/>
  <c r="AK221" i="2"/>
  <c r="AE221" i="2"/>
  <c r="AB221" i="2"/>
  <c r="BG221" i="2" s="1"/>
  <c r="P221" i="2"/>
  <c r="BE221" i="2" s="1"/>
  <c r="BG220" i="2"/>
  <c r="BF220" i="2"/>
  <c r="BE220" i="2"/>
  <c r="P220" i="2"/>
  <c r="BD219" i="2"/>
  <c r="AX219" i="2"/>
  <c r="BF219" i="2" s="1"/>
  <c r="AB219" i="2"/>
  <c r="P219" i="2"/>
  <c r="BG219" i="2" s="1"/>
  <c r="BF218" i="2"/>
  <c r="O218" i="2"/>
  <c r="N218" i="2"/>
  <c r="P218" i="2" s="1"/>
  <c r="L218" i="2"/>
  <c r="BF217" i="2"/>
  <c r="BE217" i="2"/>
  <c r="AB217" i="2"/>
  <c r="P217" i="2"/>
  <c r="BG217" i="2" s="1"/>
  <c r="O217" i="2"/>
  <c r="BG216" i="2"/>
  <c r="BF216" i="2"/>
  <c r="BE216" i="2"/>
  <c r="P216" i="2"/>
  <c r="BF215" i="2"/>
  <c r="O215" i="2"/>
  <c r="N215" i="2"/>
  <c r="P215" i="2" s="1"/>
  <c r="BE215" i="2" s="1"/>
  <c r="BG214" i="2"/>
  <c r="BF214" i="2"/>
  <c r="BE214" i="2"/>
  <c r="AB214" i="2"/>
  <c r="AA214" i="2"/>
  <c r="P214" i="2"/>
  <c r="BG213" i="2"/>
  <c r="BE213" i="2"/>
  <c r="AX213" i="2"/>
  <c r="BF213" i="2" s="1"/>
  <c r="P213" i="2"/>
  <c r="BF212" i="2"/>
  <c r="BD212" i="2"/>
  <c r="AX212" i="2"/>
  <c r="AB212" i="2"/>
  <c r="BG212" i="2" s="1"/>
  <c r="P212" i="2"/>
  <c r="BE212" i="2" s="1"/>
  <c r="BG211" i="2"/>
  <c r="BF211" i="2"/>
  <c r="L211" i="2"/>
  <c r="P211" i="2" s="1"/>
  <c r="BE211" i="2" s="1"/>
  <c r="BF210" i="2"/>
  <c r="P210" i="2"/>
  <c r="N210" i="2"/>
  <c r="BF209" i="2"/>
  <c r="BE209" i="2"/>
  <c r="Q209" i="2"/>
  <c r="P209" i="2"/>
  <c r="BG209" i="2" s="1"/>
  <c r="G209" i="2"/>
  <c r="BD208" i="2"/>
  <c r="AX208" i="2"/>
  <c r="BF208" i="2" s="1"/>
  <c r="AA208" i="2"/>
  <c r="AB208" i="2" s="1"/>
  <c r="BG208" i="2" s="1"/>
  <c r="P208" i="2"/>
  <c r="BE208" i="2" s="1"/>
  <c r="H208" i="2"/>
  <c r="G208" i="2"/>
  <c r="BF207" i="2"/>
  <c r="P207" i="2"/>
  <c r="BE207" i="2" s="1"/>
  <c r="BG206" i="2"/>
  <c r="BD206" i="2"/>
  <c r="AX206" i="2"/>
  <c r="BF206" i="2" s="1"/>
  <c r="AB206" i="2"/>
  <c r="P206" i="2"/>
  <c r="BE206" i="2" s="1"/>
  <c r="G206" i="2"/>
  <c r="BF205" i="2"/>
  <c r="BE205" i="2"/>
  <c r="R205" i="2"/>
  <c r="P205" i="2"/>
  <c r="BG205" i="2" s="1"/>
  <c r="BF204" i="2"/>
  <c r="AB204" i="2"/>
  <c r="Q204" i="2"/>
  <c r="P204" i="2"/>
  <c r="BG204" i="2" s="1"/>
  <c r="L204" i="2"/>
  <c r="H204" i="2"/>
  <c r="BF203" i="2"/>
  <c r="O203" i="2"/>
  <c r="P203" i="2" s="1"/>
  <c r="L203" i="2"/>
  <c r="BF202" i="2"/>
  <c r="Y202" i="2"/>
  <c r="Q202" i="2"/>
  <c r="N202" i="2"/>
  <c r="P202" i="2" s="1"/>
  <c r="BF201" i="2"/>
  <c r="N201" i="2"/>
  <c r="P201" i="2" s="1"/>
  <c r="BF200" i="2"/>
  <c r="BE200" i="2"/>
  <c r="AB200" i="2"/>
  <c r="BG200" i="2" s="1"/>
  <c r="P200" i="2"/>
  <c r="R200" i="2" s="1"/>
  <c r="H200" i="2"/>
  <c r="G200" i="2"/>
  <c r="BF199" i="2"/>
  <c r="AA199" i="2"/>
  <c r="N199" i="2"/>
  <c r="P199" i="2" s="1"/>
  <c r="BC198" i="2"/>
  <c r="BB198" i="2"/>
  <c r="BD198" i="2" s="1"/>
  <c r="BA198" i="2"/>
  <c r="AW198" i="2"/>
  <c r="AV198" i="2"/>
  <c r="AX198" i="2" s="1"/>
  <c r="BF198" i="2" s="1"/>
  <c r="AN198" i="2"/>
  <c r="AE198" i="2"/>
  <c r="AA198" i="2"/>
  <c r="AB198" i="2" s="1"/>
  <c r="BG198" i="2" s="1"/>
  <c r="P198" i="2"/>
  <c r="BE198" i="2" s="1"/>
  <c r="H198" i="2"/>
  <c r="G198" i="2"/>
  <c r="BG197" i="2"/>
  <c r="BE197" i="2"/>
  <c r="BD197" i="2"/>
  <c r="AX197" i="2"/>
  <c r="BF197" i="2" s="1"/>
  <c r="G197" i="2"/>
  <c r="BF196" i="2"/>
  <c r="BE196" i="2"/>
  <c r="BD196" i="2"/>
  <c r="AX196" i="2"/>
  <c r="AN196" i="2"/>
  <c r="AE196" i="2"/>
  <c r="AA196" i="2"/>
  <c r="AB196" i="2" s="1"/>
  <c r="BG196" i="2" s="1"/>
  <c r="P196" i="2"/>
  <c r="H196" i="2"/>
  <c r="G196" i="2"/>
  <c r="BF195" i="2"/>
  <c r="BD195" i="2"/>
  <c r="AX195" i="2"/>
  <c r="AN195" i="2"/>
  <c r="AM195" i="2"/>
  <c r="AE195" i="2"/>
  <c r="AA195" i="2"/>
  <c r="AB195" i="2" s="1"/>
  <c r="BG195" i="2" s="1"/>
  <c r="P195" i="2"/>
  <c r="BE195" i="2" s="1"/>
  <c r="H195" i="2"/>
  <c r="G195" i="2"/>
  <c r="BF194" i="2"/>
  <c r="BD194" i="2"/>
  <c r="AX194" i="2"/>
  <c r="AN194" i="2"/>
  <c r="AE194" i="2"/>
  <c r="AA194" i="2"/>
  <c r="AB194" i="2" s="1"/>
  <c r="BG194" i="2" s="1"/>
  <c r="P194" i="2"/>
  <c r="BE194" i="2" s="1"/>
  <c r="H194" i="2"/>
  <c r="G194" i="2"/>
  <c r="BF193" i="2"/>
  <c r="BD193" i="2"/>
  <c r="AX193" i="2"/>
  <c r="AN193" i="2"/>
  <c r="AE193" i="2"/>
  <c r="AA193" i="2"/>
  <c r="AB193" i="2" s="1"/>
  <c r="BG193" i="2" s="1"/>
  <c r="P193" i="2"/>
  <c r="BE193" i="2" s="1"/>
  <c r="H193" i="2"/>
  <c r="G193" i="2"/>
  <c r="BF192" i="2"/>
  <c r="BD192" i="2"/>
  <c r="AX192" i="2"/>
  <c r="AN192" i="2"/>
  <c r="AE192" i="2"/>
  <c r="AA192" i="2"/>
  <c r="AB192" i="2" s="1"/>
  <c r="BG192" i="2" s="1"/>
  <c r="P192" i="2"/>
  <c r="BE192" i="2" s="1"/>
  <c r="H192" i="2"/>
  <c r="G192" i="2"/>
  <c r="BB191" i="2"/>
  <c r="BD191" i="2" s="1"/>
  <c r="AX191" i="2"/>
  <c r="BF191" i="2" s="1"/>
  <c r="AN191" i="2"/>
  <c r="AE191" i="2"/>
  <c r="AA191" i="2"/>
  <c r="AB191" i="2" s="1"/>
  <c r="BG191" i="2" s="1"/>
  <c r="P191" i="2"/>
  <c r="BE191" i="2" s="1"/>
  <c r="H191" i="2"/>
  <c r="G191" i="2"/>
  <c r="BE190" i="2"/>
  <c r="BD190" i="2"/>
  <c r="AX190" i="2"/>
  <c r="BF190" i="2" s="1"/>
  <c r="AN190" i="2"/>
  <c r="AE190" i="2"/>
  <c r="AA190" i="2"/>
  <c r="AB190" i="2" s="1"/>
  <c r="BG190" i="2" s="1"/>
  <c r="P190" i="2"/>
  <c r="H190" i="2"/>
  <c r="G190" i="2"/>
  <c r="BE189" i="2"/>
  <c r="BD189" i="2"/>
  <c r="AX189" i="2"/>
  <c r="BF189" i="2" s="1"/>
  <c r="AN189" i="2"/>
  <c r="AE189" i="2"/>
  <c r="AA189" i="2"/>
  <c r="AB189" i="2" s="1"/>
  <c r="BG189" i="2" s="1"/>
  <c r="P189" i="2"/>
  <c r="H189" i="2"/>
  <c r="G189" i="2"/>
  <c r="BD188" i="2"/>
  <c r="AX188" i="2"/>
  <c r="BF188" i="2" s="1"/>
  <c r="AN188" i="2"/>
  <c r="AE188" i="2"/>
  <c r="AA188" i="2"/>
  <c r="P188" i="2"/>
  <c r="BE188" i="2" s="1"/>
  <c r="H188" i="2"/>
  <c r="G188" i="2"/>
  <c r="BF187" i="2"/>
  <c r="BA187" i="2"/>
  <c r="AZ187" i="2"/>
  <c r="BD187" i="2" s="1"/>
  <c r="AX187" i="2"/>
  <c r="AN187" i="2"/>
  <c r="AM187" i="2"/>
  <c r="AE187" i="2"/>
  <c r="AA187" i="2"/>
  <c r="AB187" i="2" s="1"/>
  <c r="BG187" i="2" s="1"/>
  <c r="P187" i="2"/>
  <c r="BE187" i="2" s="1"/>
  <c r="L187" i="2"/>
  <c r="H187" i="2"/>
  <c r="G187" i="2"/>
  <c r="AZ186" i="2"/>
  <c r="BD186" i="2" s="1"/>
  <c r="AX186" i="2"/>
  <c r="BF186" i="2" s="1"/>
  <c r="L186" i="2"/>
  <c r="P186" i="2" s="1"/>
  <c r="BE185" i="2"/>
  <c r="BD185" i="2"/>
  <c r="BA185" i="2"/>
  <c r="AZ185" i="2"/>
  <c r="AX185" i="2"/>
  <c r="BF185" i="2" s="1"/>
  <c r="AN185" i="2"/>
  <c r="AM185" i="2"/>
  <c r="AE185" i="2"/>
  <c r="AA185" i="2"/>
  <c r="AB185" i="2" s="1"/>
  <c r="BG185" i="2" s="1"/>
  <c r="P185" i="2"/>
  <c r="R185" i="2" s="1"/>
  <c r="H185" i="2"/>
  <c r="G185" i="2"/>
  <c r="BD184" i="2"/>
  <c r="AY184" i="2"/>
  <c r="AT184" i="2"/>
  <c r="AX184" i="2" s="1"/>
  <c r="BF184" i="2" s="1"/>
  <c r="AM184" i="2"/>
  <c r="AA184" i="2"/>
  <c r="AB184" i="2" s="1"/>
  <c r="BG184" i="2" s="1"/>
  <c r="P184" i="2"/>
  <c r="BE184" i="2" s="1"/>
  <c r="H184" i="2"/>
  <c r="G184" i="2"/>
  <c r="BF183" i="2"/>
  <c r="BB183" i="2"/>
  <c r="BA183" i="2"/>
  <c r="BD183" i="2" s="1"/>
  <c r="AZ183" i="2"/>
  <c r="AX183" i="2"/>
  <c r="AA183" i="2"/>
  <c r="AB183" i="2" s="1"/>
  <c r="BG183" i="2" s="1"/>
  <c r="P183" i="2"/>
  <c r="BE183" i="2" s="1"/>
  <c r="AZ182" i="2"/>
  <c r="BD182" i="2" s="1"/>
  <c r="AX182" i="2"/>
  <c r="BF182" i="2" s="1"/>
  <c r="AT182" i="2"/>
  <c r="AN182" i="2"/>
  <c r="AM182" i="2"/>
  <c r="AE182" i="2"/>
  <c r="AA182" i="2"/>
  <c r="AB182" i="2" s="1"/>
  <c r="BG182" i="2" s="1"/>
  <c r="P182" i="2"/>
  <c r="BE182" i="2" s="1"/>
  <c r="H182" i="2"/>
  <c r="G182" i="2"/>
  <c r="BB181" i="2"/>
  <c r="BA181" i="2"/>
  <c r="BD181" i="2" s="1"/>
  <c r="AV181" i="2"/>
  <c r="AX181" i="2" s="1"/>
  <c r="BF181" i="2" s="1"/>
  <c r="AM181" i="2"/>
  <c r="AE181" i="2"/>
  <c r="AA181" i="2"/>
  <c r="AB181" i="2" s="1"/>
  <c r="BG181" i="2" s="1"/>
  <c r="P181" i="2"/>
  <c r="BE181" i="2" s="1"/>
  <c r="L181" i="2"/>
  <c r="H181" i="2"/>
  <c r="G181" i="2"/>
  <c r="BG178" i="2"/>
  <c r="BF178" i="2"/>
  <c r="BE178" i="2"/>
  <c r="CG175" i="2"/>
  <c r="CF175" i="2"/>
  <c r="CE175" i="2"/>
  <c r="CD175" i="2"/>
  <c r="CC175" i="2"/>
  <c r="BI175" i="2"/>
  <c r="CM175" i="2" s="1"/>
  <c r="BH175" i="2"/>
  <c r="CS175" i="2" s="1"/>
  <c r="BF175" i="2"/>
  <c r="CJ175" i="2" s="1"/>
  <c r="BD175" i="2"/>
  <c r="AX175" i="2"/>
  <c r="AE175" i="2"/>
  <c r="AB175" i="2"/>
  <c r="P175" i="2"/>
  <c r="BE175" i="2" s="1"/>
  <c r="CJ174" i="2"/>
  <c r="CG174" i="2"/>
  <c r="CF174" i="2"/>
  <c r="CS174" i="2" s="1"/>
  <c r="CE174" i="2"/>
  <c r="CD174" i="2"/>
  <c r="CC174" i="2"/>
  <c r="BI174" i="2"/>
  <c r="BH174" i="2"/>
  <c r="BF174" i="2"/>
  <c r="CQ174" i="2" s="1"/>
  <c r="BD174" i="2"/>
  <c r="AX174" i="2"/>
  <c r="AN174" i="2"/>
  <c r="AM174" i="2"/>
  <c r="AE174" i="2"/>
  <c r="AA174" i="2"/>
  <c r="AB174" i="2" s="1"/>
  <c r="BG174" i="2" s="1"/>
  <c r="CR174" i="2" s="1"/>
  <c r="P174" i="2"/>
  <c r="R174" i="2" s="1"/>
  <c r="CT173" i="2"/>
  <c r="CJ173" i="2"/>
  <c r="CG173" i="2"/>
  <c r="CF173" i="2"/>
  <c r="CE173" i="2"/>
  <c r="CD173" i="2"/>
  <c r="CC173" i="2"/>
  <c r="BI173" i="2"/>
  <c r="CM173" i="2" s="1"/>
  <c r="BH173" i="2"/>
  <c r="BF173" i="2"/>
  <c r="CQ173" i="2" s="1"/>
  <c r="BD173" i="2"/>
  <c r="AX173" i="2"/>
  <c r="AE173" i="2"/>
  <c r="AB173" i="2"/>
  <c r="P173" i="2"/>
  <c r="BE173" i="2" s="1"/>
  <c r="CT172" i="2"/>
  <c r="CJ172" i="2"/>
  <c r="CG172" i="2"/>
  <c r="CF172" i="2"/>
  <c r="CE172" i="2"/>
  <c r="CD172" i="2"/>
  <c r="CC172" i="2"/>
  <c r="BI172" i="2"/>
  <c r="CM172" i="2" s="1"/>
  <c r="BH172" i="2"/>
  <c r="BF172" i="2"/>
  <c r="CQ172" i="2" s="1"/>
  <c r="BD172" i="2"/>
  <c r="AX172" i="2"/>
  <c r="AR172" i="2"/>
  <c r="AQ172" i="2"/>
  <c r="BE172" i="2" s="1"/>
  <c r="AN172" i="2"/>
  <c r="AM172" i="2"/>
  <c r="AE172" i="2"/>
  <c r="AA172" i="2"/>
  <c r="AB172" i="2" s="1"/>
  <c r="BG172" i="2" s="1"/>
  <c r="CR172" i="2" s="1"/>
  <c r="P172" i="2"/>
  <c r="R172" i="2" s="1"/>
  <c r="H172" i="2"/>
  <c r="G172" i="2"/>
  <c r="CT171" i="2"/>
  <c r="CS171" i="2"/>
  <c r="CJ171" i="2"/>
  <c r="CG171" i="2"/>
  <c r="CF171" i="2"/>
  <c r="CE171" i="2"/>
  <c r="CD171" i="2"/>
  <c r="CC171" i="2"/>
  <c r="BI171" i="2"/>
  <c r="CM171" i="2" s="1"/>
  <c r="BH171" i="2"/>
  <c r="CL171" i="2" s="1"/>
  <c r="BF171" i="2"/>
  <c r="CQ171" i="2" s="1"/>
  <c r="BE171" i="2"/>
  <c r="CI171" i="2" s="1"/>
  <c r="BD171" i="2"/>
  <c r="AX171" i="2"/>
  <c r="AN171" i="2"/>
  <c r="AM171" i="2"/>
  <c r="AE171" i="2"/>
  <c r="AA171" i="2"/>
  <c r="P171" i="2"/>
  <c r="BG171" i="2" s="1"/>
  <c r="H171" i="2"/>
  <c r="G171" i="2"/>
  <c r="CT170" i="2"/>
  <c r="CS170" i="2"/>
  <c r="CJ170" i="2"/>
  <c r="CG170" i="2"/>
  <c r="CF170" i="2"/>
  <c r="CE170" i="2"/>
  <c r="CD170" i="2"/>
  <c r="CC170" i="2"/>
  <c r="BI170" i="2"/>
  <c r="CM170" i="2" s="1"/>
  <c r="BH170" i="2"/>
  <c r="CL170" i="2" s="1"/>
  <c r="BF170" i="2"/>
  <c r="CQ170" i="2" s="1"/>
  <c r="BD170" i="2"/>
  <c r="AX170" i="2"/>
  <c r="AR170" i="2"/>
  <c r="AQ170" i="2"/>
  <c r="BE170" i="2" s="1"/>
  <c r="AN170" i="2"/>
  <c r="AM170" i="2"/>
  <c r="AE170" i="2"/>
  <c r="AB170" i="2"/>
  <c r="BG170" i="2" s="1"/>
  <c r="CR170" i="2" s="1"/>
  <c r="AA170" i="2"/>
  <c r="X170" i="2"/>
  <c r="P170" i="2"/>
  <c r="H170" i="2"/>
  <c r="G170" i="2"/>
  <c r="CT169" i="2"/>
  <c r="CS169" i="2"/>
  <c r="CJ169" i="2"/>
  <c r="CG169" i="2"/>
  <c r="CF169" i="2"/>
  <c r="CE169" i="2"/>
  <c r="CK169" i="2" s="1"/>
  <c r="CD169" i="2"/>
  <c r="CC169" i="2"/>
  <c r="BI169" i="2"/>
  <c r="CM169" i="2" s="1"/>
  <c r="BH169" i="2"/>
  <c r="CL169" i="2" s="1"/>
  <c r="BF169" i="2"/>
  <c r="CQ169" i="2" s="1"/>
  <c r="BE169" i="2"/>
  <c r="CI169" i="2" s="1"/>
  <c r="CN169" i="2" s="1"/>
  <c r="BD169" i="2"/>
  <c r="AX169" i="2"/>
  <c r="AM169" i="2"/>
  <c r="AE169" i="2"/>
  <c r="AB169" i="2"/>
  <c r="BG169" i="2" s="1"/>
  <c r="P169" i="2"/>
  <c r="CL168" i="2"/>
  <c r="CG168" i="2"/>
  <c r="CF168" i="2"/>
  <c r="CE168" i="2"/>
  <c r="CD168" i="2"/>
  <c r="CC168" i="2"/>
  <c r="BI168" i="2"/>
  <c r="CM168" i="2" s="1"/>
  <c r="BH168" i="2"/>
  <c r="CS168" i="2" s="1"/>
  <c r="BF168" i="2"/>
  <c r="CJ168" i="2" s="1"/>
  <c r="BD168" i="2"/>
  <c r="AX168" i="2"/>
  <c r="AR168" i="2"/>
  <c r="AQ168" i="2"/>
  <c r="BE168" i="2" s="1"/>
  <c r="AN168" i="2"/>
  <c r="AM168" i="2"/>
  <c r="AE168" i="2"/>
  <c r="AA168" i="2"/>
  <c r="Y168" i="2"/>
  <c r="X168" i="2"/>
  <c r="AB168" i="2" s="1"/>
  <c r="BG168" i="2" s="1"/>
  <c r="P168" i="2"/>
  <c r="R168" i="2" s="1"/>
  <c r="L168" i="2"/>
  <c r="H168" i="2"/>
  <c r="G168" i="2"/>
  <c r="CT167" i="2"/>
  <c r="CM167" i="2"/>
  <c r="CG167" i="2"/>
  <c r="CF167" i="2"/>
  <c r="CE167" i="2"/>
  <c r="CD167" i="2"/>
  <c r="CC167" i="2"/>
  <c r="BI167" i="2"/>
  <c r="BH167" i="2"/>
  <c r="CL167" i="2" s="1"/>
  <c r="BG167" i="2"/>
  <c r="BD167" i="2"/>
  <c r="AX167" i="2"/>
  <c r="BF167" i="2" s="1"/>
  <c r="AN167" i="2"/>
  <c r="AM167" i="2"/>
  <c r="AE167" i="2"/>
  <c r="AB167" i="2"/>
  <c r="AA167" i="2"/>
  <c r="P167" i="2"/>
  <c r="BE167" i="2" s="1"/>
  <c r="CP167" i="2" s="1"/>
  <c r="H167" i="2"/>
  <c r="G167" i="2"/>
  <c r="CP166" i="2"/>
  <c r="CG166" i="2"/>
  <c r="CT166" i="2" s="1"/>
  <c r="CF166" i="2"/>
  <c r="CE166" i="2"/>
  <c r="CK166" i="2" s="1"/>
  <c r="CD166" i="2"/>
  <c r="CC166" i="2"/>
  <c r="BI166" i="2"/>
  <c r="BH166" i="2"/>
  <c r="CS166" i="2" s="1"/>
  <c r="BF166" i="2"/>
  <c r="CQ166" i="2" s="1"/>
  <c r="BE166" i="2"/>
  <c r="CI166" i="2" s="1"/>
  <c r="BA166" i="2"/>
  <c r="AY166" i="2"/>
  <c r="BD166" i="2" s="1"/>
  <c r="AX166" i="2"/>
  <c r="AN166" i="2"/>
  <c r="AM166" i="2"/>
  <c r="AE166" i="2"/>
  <c r="AB166" i="2"/>
  <c r="BG166" i="2" s="1"/>
  <c r="AA166" i="2"/>
  <c r="P166" i="2"/>
  <c r="H166" i="2"/>
  <c r="G166" i="2"/>
  <c r="CT165" i="2"/>
  <c r="CS165" i="2"/>
  <c r="CM165" i="2"/>
  <c r="CG165" i="2"/>
  <c r="CF165" i="2"/>
  <c r="CE165" i="2"/>
  <c r="CD165" i="2"/>
  <c r="CC165" i="2"/>
  <c r="BI165" i="2"/>
  <c r="BH165" i="2"/>
  <c r="CL165" i="2" s="1"/>
  <c r="BD165" i="2"/>
  <c r="AX165" i="2"/>
  <c r="BF165" i="2" s="1"/>
  <c r="AN165" i="2"/>
  <c r="AM165" i="2"/>
  <c r="AE165" i="2"/>
  <c r="AB165" i="2"/>
  <c r="AA165" i="2"/>
  <c r="P165" i="2"/>
  <c r="BG165" i="2" s="1"/>
  <c r="H165" i="2"/>
  <c r="G165" i="2"/>
  <c r="CG164" i="2"/>
  <c r="CF164" i="2"/>
  <c r="CL164" i="2" s="1"/>
  <c r="CE164" i="2"/>
  <c r="CD164" i="2"/>
  <c r="CC164" i="2"/>
  <c r="BI164" i="2"/>
  <c r="CM164" i="2" s="1"/>
  <c r="BH164" i="2"/>
  <c r="BF164" i="2"/>
  <c r="CJ164" i="2" s="1"/>
  <c r="BD164" i="2"/>
  <c r="AX164" i="2"/>
  <c r="AR164" i="2"/>
  <c r="AQ164" i="2"/>
  <c r="BE164" i="2" s="1"/>
  <c r="AN164" i="2"/>
  <c r="AM164" i="2"/>
  <c r="AE164" i="2"/>
  <c r="AB164" i="2"/>
  <c r="BG164" i="2" s="1"/>
  <c r="AA164" i="2"/>
  <c r="P164" i="2"/>
  <c r="H164" i="2"/>
  <c r="G164" i="2"/>
  <c r="CS163" i="2"/>
  <c r="CG163" i="2"/>
  <c r="CF163" i="2"/>
  <c r="CE163" i="2"/>
  <c r="CD163" i="2"/>
  <c r="CC163" i="2"/>
  <c r="BI163" i="2"/>
  <c r="CM163" i="2" s="1"/>
  <c r="BH163" i="2"/>
  <c r="CL163" i="2" s="1"/>
  <c r="BD163" i="2"/>
  <c r="AX163" i="2"/>
  <c r="BF163" i="2" s="1"/>
  <c r="AR163" i="2"/>
  <c r="AQ163" i="2"/>
  <c r="BE163" i="2" s="1"/>
  <c r="AN163" i="2"/>
  <c r="AM163" i="2"/>
  <c r="AL163" i="2"/>
  <c r="AE163" i="2"/>
  <c r="AA163" i="2"/>
  <c r="AB163" i="2" s="1"/>
  <c r="BG163" i="2" s="1"/>
  <c r="P163" i="2"/>
  <c r="H163" i="2"/>
  <c r="G163" i="2"/>
  <c r="CT162" i="2"/>
  <c r="CJ162" i="2"/>
  <c r="CG162" i="2"/>
  <c r="CF162" i="2"/>
  <c r="CE162" i="2"/>
  <c r="CD162" i="2"/>
  <c r="CC162" i="2"/>
  <c r="BI162" i="2"/>
  <c r="CM162" i="2" s="1"/>
  <c r="BH162" i="2"/>
  <c r="BD162" i="2"/>
  <c r="AX162" i="2"/>
  <c r="BF162" i="2" s="1"/>
  <c r="CQ162" i="2" s="1"/>
  <c r="AR162" i="2"/>
  <c r="AQ162" i="2"/>
  <c r="BE162" i="2" s="1"/>
  <c r="CI162" i="2" s="1"/>
  <c r="AN162" i="2"/>
  <c r="AM162" i="2"/>
  <c r="AL162" i="2"/>
  <c r="AI162" i="2"/>
  <c r="AH162" i="2"/>
  <c r="AG162" i="2"/>
  <c r="AC162" i="2"/>
  <c r="AE162" i="2" s="1"/>
  <c r="AA162" i="2"/>
  <c r="AB162" i="2" s="1"/>
  <c r="BG162" i="2" s="1"/>
  <c r="P162" i="2"/>
  <c r="CQ161" i="2"/>
  <c r="CL161" i="2"/>
  <c r="CG161" i="2"/>
  <c r="CF161" i="2"/>
  <c r="CE161" i="2"/>
  <c r="CD161" i="2"/>
  <c r="CC161" i="2"/>
  <c r="BI161" i="2"/>
  <c r="BH161" i="2"/>
  <c r="BF161" i="2"/>
  <c r="CJ161" i="2" s="1"/>
  <c r="BD161" i="2"/>
  <c r="AX161" i="2"/>
  <c r="AR161" i="2"/>
  <c r="AQ161" i="2"/>
  <c r="BE161" i="2" s="1"/>
  <c r="AN161" i="2"/>
  <c r="AM161" i="2"/>
  <c r="AI161" i="2"/>
  <c r="AH161" i="2"/>
  <c r="AG161" i="2"/>
  <c r="AC161" i="2"/>
  <c r="AE161" i="2" s="1"/>
  <c r="Z161" i="2"/>
  <c r="Y161" i="2"/>
  <c r="X161" i="2"/>
  <c r="P161" i="2"/>
  <c r="H161" i="2"/>
  <c r="G161" i="2"/>
  <c r="CT160" i="2"/>
  <c r="CS160" i="2"/>
  <c r="CP160" i="2"/>
  <c r="CM160" i="2"/>
  <c r="CI160" i="2"/>
  <c r="CG160" i="2"/>
  <c r="CF160" i="2"/>
  <c r="CE160" i="2"/>
  <c r="CD160" i="2"/>
  <c r="CJ160" i="2" s="1"/>
  <c r="CC160" i="2"/>
  <c r="BI160" i="2"/>
  <c r="BH160" i="2"/>
  <c r="CL160" i="2" s="1"/>
  <c r="BG160" i="2"/>
  <c r="BF160" i="2"/>
  <c r="BE160" i="2"/>
  <c r="AN160" i="2"/>
  <c r="CT159" i="2"/>
  <c r="CJ159" i="2"/>
  <c r="CG159" i="2"/>
  <c r="CF159" i="2"/>
  <c r="CE159" i="2"/>
  <c r="CD159" i="2"/>
  <c r="CC159" i="2"/>
  <c r="BI159" i="2"/>
  <c r="CM159" i="2" s="1"/>
  <c r="BH159" i="2"/>
  <c r="BD159" i="2"/>
  <c r="AX159" i="2"/>
  <c r="BF159" i="2" s="1"/>
  <c r="CQ159" i="2" s="1"/>
  <c r="AR159" i="2"/>
  <c r="AQ159" i="2"/>
  <c r="BE159" i="2" s="1"/>
  <c r="CI159" i="2" s="1"/>
  <c r="AN159" i="2"/>
  <c r="AM159" i="2"/>
  <c r="AE159" i="2"/>
  <c r="Y159" i="2"/>
  <c r="X159" i="2"/>
  <c r="P159" i="2"/>
  <c r="H159" i="2"/>
  <c r="G159" i="2"/>
  <c r="CQ158" i="2"/>
  <c r="CG158" i="2"/>
  <c r="CF158" i="2"/>
  <c r="CE158" i="2"/>
  <c r="CD158" i="2"/>
  <c r="CC158" i="2"/>
  <c r="BI158" i="2"/>
  <c r="CM158" i="2" s="1"/>
  <c r="BH158" i="2"/>
  <c r="BF158" i="2"/>
  <c r="CJ158" i="2" s="1"/>
  <c r="BD158" i="2"/>
  <c r="AX158" i="2"/>
  <c r="AR158" i="2"/>
  <c r="AQ158" i="2"/>
  <c r="BE158" i="2" s="1"/>
  <c r="AN158" i="2"/>
  <c r="AM158" i="2"/>
  <c r="AE158" i="2"/>
  <c r="Y158" i="2"/>
  <c r="X158" i="2"/>
  <c r="P158" i="2"/>
  <c r="H158" i="2"/>
  <c r="G158" i="2"/>
  <c r="CR157" i="2"/>
  <c r="CQ157" i="2"/>
  <c r="CL157" i="2"/>
  <c r="CK157" i="2"/>
  <c r="CG157" i="2"/>
  <c r="CF157" i="2"/>
  <c r="CE157" i="2"/>
  <c r="CD157" i="2"/>
  <c r="CC157" i="2"/>
  <c r="BI157" i="2"/>
  <c r="BH157" i="2"/>
  <c r="BG157" i="2"/>
  <c r="BF157" i="2"/>
  <c r="CJ157" i="2" s="1"/>
  <c r="BE157" i="2"/>
  <c r="AN157" i="2"/>
  <c r="AM157" i="2"/>
  <c r="AE157" i="2"/>
  <c r="CP156" i="2"/>
  <c r="CG156" i="2"/>
  <c r="CF156" i="2"/>
  <c r="CE156" i="2"/>
  <c r="CD156" i="2"/>
  <c r="CC156" i="2"/>
  <c r="BI156" i="2"/>
  <c r="CM156" i="2" s="1"/>
  <c r="BH156" i="2"/>
  <c r="BB156" i="2"/>
  <c r="BA156" i="2"/>
  <c r="AZ156" i="2"/>
  <c r="AY156" i="2"/>
  <c r="AX156" i="2"/>
  <c r="BF156" i="2" s="1"/>
  <c r="AU156" i="2"/>
  <c r="AA156" i="2"/>
  <c r="AB156" i="2" s="1"/>
  <c r="BG156" i="2" s="1"/>
  <c r="P156" i="2"/>
  <c r="BE156" i="2" s="1"/>
  <c r="CI156" i="2" s="1"/>
  <c r="CS155" i="2"/>
  <c r="CG155" i="2"/>
  <c r="CF155" i="2"/>
  <c r="CE155" i="2"/>
  <c r="CD155" i="2"/>
  <c r="CC155" i="2"/>
  <c r="BI155" i="2"/>
  <c r="BH155" i="2"/>
  <c r="CL155" i="2" s="1"/>
  <c r="BD155" i="2"/>
  <c r="BA155" i="2"/>
  <c r="AZ155" i="2"/>
  <c r="AU155" i="2"/>
  <c r="AX155" i="2" s="1"/>
  <c r="BF155" i="2" s="1"/>
  <c r="AA155" i="2"/>
  <c r="AB155" i="2" s="1"/>
  <c r="BG155" i="2" s="1"/>
  <c r="P155" i="2"/>
  <c r="BE155" i="2" s="1"/>
  <c r="CT154" i="2"/>
  <c r="CS154" i="2"/>
  <c r="CM154" i="2"/>
  <c r="CG154" i="2"/>
  <c r="CF154" i="2"/>
  <c r="CE154" i="2"/>
  <c r="CD154" i="2"/>
  <c r="CC154" i="2"/>
  <c r="BI154" i="2"/>
  <c r="BH154" i="2"/>
  <c r="BD154" i="2"/>
  <c r="AX154" i="2"/>
  <c r="BF154" i="2" s="1"/>
  <c r="AR154" i="2"/>
  <c r="AQ154" i="2"/>
  <c r="BE154" i="2" s="1"/>
  <c r="AN154" i="2"/>
  <c r="AM154" i="2"/>
  <c r="AE154" i="2"/>
  <c r="AB154" i="2"/>
  <c r="BG154" i="2" s="1"/>
  <c r="AA154" i="2"/>
  <c r="Q154" i="2"/>
  <c r="P154" i="2"/>
  <c r="R154" i="2" s="1"/>
  <c r="N154" i="2"/>
  <c r="M154" i="2"/>
  <c r="H154" i="2"/>
  <c r="G154" i="2"/>
  <c r="CS153" i="2"/>
  <c r="CL153" i="2"/>
  <c r="CG153" i="2"/>
  <c r="CM153" i="2" s="1"/>
  <c r="CF153" i="2"/>
  <c r="CE153" i="2"/>
  <c r="CD153" i="2"/>
  <c r="CC153" i="2"/>
  <c r="BI153" i="2"/>
  <c r="BH153" i="2"/>
  <c r="BF153" i="2"/>
  <c r="BD153" i="2"/>
  <c r="AX153" i="2"/>
  <c r="AB153" i="2"/>
  <c r="BG153" i="2" s="1"/>
  <c r="P153" i="2"/>
  <c r="BE153" i="2" s="1"/>
  <c r="G153" i="2"/>
  <c r="CS152" i="2"/>
  <c r="CM152" i="2"/>
  <c r="CL152" i="2"/>
  <c r="CG152" i="2"/>
  <c r="CF152" i="2"/>
  <c r="CE152" i="2"/>
  <c r="CD152" i="2"/>
  <c r="CC152" i="2"/>
  <c r="BI152" i="2"/>
  <c r="CT152" i="2" s="1"/>
  <c r="BH152" i="2"/>
  <c r="BF152" i="2"/>
  <c r="BD152" i="2"/>
  <c r="AX152" i="2"/>
  <c r="AR152" i="2"/>
  <c r="AQ152" i="2"/>
  <c r="BE152" i="2" s="1"/>
  <c r="AN152" i="2"/>
  <c r="AM152" i="2"/>
  <c r="AL152" i="2"/>
  <c r="AK152" i="2"/>
  <c r="AI152" i="2"/>
  <c r="AH152" i="2"/>
  <c r="AG152" i="2"/>
  <c r="AE152" i="2"/>
  <c r="AC152" i="2"/>
  <c r="AA152" i="2"/>
  <c r="Z152" i="2"/>
  <c r="Y152" i="2"/>
  <c r="X152" i="2"/>
  <c r="L152" i="2"/>
  <c r="P152" i="2" s="1"/>
  <c r="R152" i="2" s="1"/>
  <c r="CL151" i="2"/>
  <c r="CG151" i="2"/>
  <c r="CF151" i="2"/>
  <c r="CE151" i="2"/>
  <c r="CD151" i="2"/>
  <c r="CC151" i="2"/>
  <c r="BI151" i="2"/>
  <c r="BH151" i="2"/>
  <c r="CS151" i="2" s="1"/>
  <c r="BD151" i="2"/>
  <c r="AX151" i="2"/>
  <c r="BF151" i="2" s="1"/>
  <c r="CJ151" i="2" s="1"/>
  <c r="AN151" i="2"/>
  <c r="AM151" i="2"/>
  <c r="AE151" i="2"/>
  <c r="AB151" i="2"/>
  <c r="AA151" i="2"/>
  <c r="L151" i="2"/>
  <c r="P151" i="2" s="1"/>
  <c r="BE151" i="2" s="1"/>
  <c r="H151" i="2"/>
  <c r="G151" i="2"/>
  <c r="CL150" i="2"/>
  <c r="CG150" i="2"/>
  <c r="CM150" i="2" s="1"/>
  <c r="CF150" i="2"/>
  <c r="CE150" i="2"/>
  <c r="CD150" i="2"/>
  <c r="CC150" i="2"/>
  <c r="BI150" i="2"/>
  <c r="BH150" i="2"/>
  <c r="CS150" i="2" s="1"/>
  <c r="BF150" i="2"/>
  <c r="BD150" i="2"/>
  <c r="AX150" i="2"/>
  <c r="AR150" i="2"/>
  <c r="AQ150" i="2"/>
  <c r="BE150" i="2" s="1"/>
  <c r="AN150" i="2"/>
  <c r="AM150" i="2"/>
  <c r="AE150" i="2"/>
  <c r="X150" i="2"/>
  <c r="P150" i="2"/>
  <c r="H150" i="2"/>
  <c r="G150" i="2"/>
  <c r="CM149" i="2"/>
  <c r="CL149" i="2"/>
  <c r="CI149" i="2"/>
  <c r="CG149" i="2"/>
  <c r="CF149" i="2"/>
  <c r="CE149" i="2"/>
  <c r="CD149" i="2"/>
  <c r="CC149" i="2"/>
  <c r="BI149" i="2"/>
  <c r="CT149" i="2" s="1"/>
  <c r="BH149" i="2"/>
  <c r="CS149" i="2" s="1"/>
  <c r="BG149" i="2"/>
  <c r="BF149" i="2"/>
  <c r="BD149" i="2"/>
  <c r="AX149" i="2"/>
  <c r="AR149" i="2"/>
  <c r="AQ149" i="2"/>
  <c r="BE149" i="2" s="1"/>
  <c r="CP149" i="2" s="1"/>
  <c r="AN149" i="2"/>
  <c r="AM149" i="2"/>
  <c r="AE149" i="2"/>
  <c r="AB149" i="2"/>
  <c r="AA149" i="2"/>
  <c r="P149" i="2"/>
  <c r="H149" i="2"/>
  <c r="G149" i="2"/>
  <c r="CQ148" i="2"/>
  <c r="CL148" i="2"/>
  <c r="CG148" i="2"/>
  <c r="CF148" i="2"/>
  <c r="CE148" i="2"/>
  <c r="CD148" i="2"/>
  <c r="CC148" i="2"/>
  <c r="BI148" i="2"/>
  <c r="BH148" i="2"/>
  <c r="CS148" i="2" s="1"/>
  <c r="BF148" i="2"/>
  <c r="CJ148" i="2" s="1"/>
  <c r="BE148" i="2"/>
  <c r="BD148" i="2"/>
  <c r="AX148" i="2"/>
  <c r="AN148" i="2"/>
  <c r="AM148" i="2"/>
  <c r="AE148" i="2"/>
  <c r="AA148" i="2"/>
  <c r="AB148" i="2" s="1"/>
  <c r="BG148" i="2" s="1"/>
  <c r="P148" i="2"/>
  <c r="H148" i="2"/>
  <c r="G148" i="2"/>
  <c r="CR147" i="2"/>
  <c r="CM147" i="2"/>
  <c r="CL147" i="2"/>
  <c r="CI147" i="2"/>
  <c r="CG147" i="2"/>
  <c r="CF147" i="2"/>
  <c r="CE147" i="2"/>
  <c r="CD147" i="2"/>
  <c r="CC147" i="2"/>
  <c r="BI147" i="2"/>
  <c r="CT147" i="2" s="1"/>
  <c r="BH147" i="2"/>
  <c r="CS147" i="2" s="1"/>
  <c r="BG147" i="2"/>
  <c r="CK147" i="2" s="1"/>
  <c r="BF147" i="2"/>
  <c r="BD147" i="2"/>
  <c r="AX147" i="2"/>
  <c r="AR147" i="2"/>
  <c r="AQ147" i="2"/>
  <c r="BE147" i="2" s="1"/>
  <c r="CP147" i="2" s="1"/>
  <c r="AN147" i="2"/>
  <c r="AM147" i="2"/>
  <c r="AE147" i="2"/>
  <c r="AB147" i="2"/>
  <c r="AA147" i="2"/>
  <c r="P147" i="2"/>
  <c r="H147" i="2"/>
  <c r="G147" i="2"/>
  <c r="CQ146" i="2"/>
  <c r="CL146" i="2"/>
  <c r="CG146" i="2"/>
  <c r="CF146" i="2"/>
  <c r="CE146" i="2"/>
  <c r="CD146" i="2"/>
  <c r="CC146" i="2"/>
  <c r="BI146" i="2"/>
  <c r="BH146" i="2"/>
  <c r="CS146" i="2" s="1"/>
  <c r="BF146" i="2"/>
  <c r="CJ146" i="2" s="1"/>
  <c r="BE146" i="2"/>
  <c r="BD146" i="2"/>
  <c r="AX146" i="2"/>
  <c r="AN146" i="2"/>
  <c r="AM146" i="2"/>
  <c r="AL146" i="2"/>
  <c r="AI146" i="2"/>
  <c r="AH146" i="2"/>
  <c r="AG146" i="2"/>
  <c r="AE146" i="2"/>
  <c r="AC146" i="2"/>
  <c r="AA146" i="2"/>
  <c r="AB146" i="2" s="1"/>
  <c r="BG146" i="2" s="1"/>
  <c r="P146" i="2"/>
  <c r="CQ145" i="2"/>
  <c r="CL145" i="2"/>
  <c r="CG145" i="2"/>
  <c r="CF145" i="2"/>
  <c r="CE145" i="2"/>
  <c r="CD145" i="2"/>
  <c r="CC145" i="2"/>
  <c r="BI145" i="2"/>
  <c r="BH145" i="2"/>
  <c r="CS145" i="2" s="1"/>
  <c r="BF145" i="2"/>
  <c r="CJ145" i="2" s="1"/>
  <c r="BE145" i="2"/>
  <c r="BD145" i="2"/>
  <c r="AX145" i="2"/>
  <c r="AM145" i="2"/>
  <c r="AE145" i="2"/>
  <c r="X145" i="2"/>
  <c r="P145" i="2"/>
  <c r="R145" i="2" s="1"/>
  <c r="H145" i="2"/>
  <c r="G145" i="2"/>
  <c r="CS144" i="2"/>
  <c r="CL144" i="2"/>
  <c r="CI144" i="2"/>
  <c r="CG144" i="2"/>
  <c r="CM144" i="2" s="1"/>
  <c r="CF144" i="2"/>
  <c r="CE144" i="2"/>
  <c r="CD144" i="2"/>
  <c r="CC144" i="2"/>
  <c r="BI144" i="2"/>
  <c r="CT144" i="2" s="1"/>
  <c r="BH144" i="2"/>
  <c r="BG144" i="2"/>
  <c r="CK144" i="2" s="1"/>
  <c r="BF144" i="2"/>
  <c r="BD144" i="2"/>
  <c r="AX144" i="2"/>
  <c r="AL144" i="2"/>
  <c r="AK144" i="2"/>
  <c r="AN144" i="2" s="1"/>
  <c r="AE144" i="2"/>
  <c r="AB144" i="2"/>
  <c r="X144" i="2"/>
  <c r="AA144" i="2" s="1"/>
  <c r="P144" i="2"/>
  <c r="BE144" i="2" s="1"/>
  <c r="H144" i="2"/>
  <c r="G144" i="2"/>
  <c r="CS143" i="2"/>
  <c r="CG143" i="2"/>
  <c r="CM143" i="2" s="1"/>
  <c r="CF143" i="2"/>
  <c r="CE143" i="2"/>
  <c r="CD143" i="2"/>
  <c r="CC143" i="2"/>
  <c r="BI143" i="2"/>
  <c r="BH143" i="2"/>
  <c r="CL143" i="2" s="1"/>
  <c r="BF143" i="2"/>
  <c r="CQ143" i="2" s="1"/>
  <c r="BD143" i="2"/>
  <c r="AX143" i="2"/>
  <c r="AM143" i="2"/>
  <c r="AE143" i="2"/>
  <c r="AA143" i="2"/>
  <c r="AB143" i="2" s="1"/>
  <c r="BG143" i="2" s="1"/>
  <c r="R143" i="2"/>
  <c r="P143" i="2"/>
  <c r="BE143" i="2" s="1"/>
  <c r="CR142" i="2"/>
  <c r="CL142" i="2"/>
  <c r="CG142" i="2"/>
  <c r="CF142" i="2"/>
  <c r="CE142" i="2"/>
  <c r="CD142" i="2"/>
  <c r="CC142" i="2"/>
  <c r="BI142" i="2"/>
  <c r="BH142" i="2"/>
  <c r="BE142" i="2"/>
  <c r="BD142" i="2"/>
  <c r="AX142" i="2"/>
  <c r="BF142" i="2" s="1"/>
  <c r="AM142" i="2"/>
  <c r="AE142" i="2"/>
  <c r="AA142" i="2"/>
  <c r="AB142" i="2" s="1"/>
  <c r="P142" i="2"/>
  <c r="BG142" i="2" s="1"/>
  <c r="CK142" i="2" s="1"/>
  <c r="H142" i="2"/>
  <c r="G142" i="2"/>
  <c r="CR141" i="2"/>
  <c r="CL141" i="2"/>
  <c r="CG141" i="2"/>
  <c r="CF141" i="2"/>
  <c r="CE141" i="2"/>
  <c r="CD141" i="2"/>
  <c r="CQ141" i="2" s="1"/>
  <c r="CC141" i="2"/>
  <c r="BI141" i="2"/>
  <c r="BH141" i="2"/>
  <c r="BG141" i="2"/>
  <c r="CK141" i="2" s="1"/>
  <c r="BF141" i="2"/>
  <c r="BE141" i="2"/>
  <c r="CI141" i="2" s="1"/>
  <c r="CG140" i="2"/>
  <c r="CT140" i="2" s="1"/>
  <c r="CF140" i="2"/>
  <c r="CE140" i="2"/>
  <c r="CK140" i="2" s="1"/>
  <c r="CD140" i="2"/>
  <c r="CC140" i="2"/>
  <c r="CP140" i="2" s="1"/>
  <c r="BI140" i="2"/>
  <c r="BH140" i="2"/>
  <c r="BG140" i="2"/>
  <c r="BF140" i="2"/>
  <c r="BE140" i="2"/>
  <c r="CS139" i="2"/>
  <c r="CP139" i="2"/>
  <c r="CM139" i="2"/>
  <c r="CG139" i="2"/>
  <c r="CF139" i="2"/>
  <c r="CE139" i="2"/>
  <c r="CD139" i="2"/>
  <c r="CC139" i="2"/>
  <c r="BI139" i="2"/>
  <c r="CT139" i="2" s="1"/>
  <c r="BH139" i="2"/>
  <c r="CL139" i="2" s="1"/>
  <c r="BE139" i="2"/>
  <c r="CI139" i="2" s="1"/>
  <c r="BD139" i="2"/>
  <c r="AX139" i="2"/>
  <c r="BF139" i="2" s="1"/>
  <c r="AE139" i="2"/>
  <c r="AB139" i="2"/>
  <c r="BG139" i="2" s="1"/>
  <c r="P139" i="2"/>
  <c r="CM138" i="2"/>
  <c r="CJ138" i="2"/>
  <c r="CG138" i="2"/>
  <c r="CF138" i="2"/>
  <c r="CE138" i="2"/>
  <c r="CD138" i="2"/>
  <c r="CC138" i="2"/>
  <c r="BI138" i="2"/>
  <c r="CT138" i="2" s="1"/>
  <c r="BH138" i="2"/>
  <c r="CL138" i="2" s="1"/>
  <c r="BE138" i="2"/>
  <c r="BD138" i="2"/>
  <c r="AX138" i="2"/>
  <c r="BF138" i="2" s="1"/>
  <c r="CQ138" i="2" s="1"/>
  <c r="AM138" i="2"/>
  <c r="AE138" i="2"/>
  <c r="AB138" i="2"/>
  <c r="P138" i="2"/>
  <c r="CQ137" i="2"/>
  <c r="CG137" i="2"/>
  <c r="CT137" i="2" s="1"/>
  <c r="CF137" i="2"/>
  <c r="CE137" i="2"/>
  <c r="CD137" i="2"/>
  <c r="CC137" i="2"/>
  <c r="BI137" i="2"/>
  <c r="BH137" i="2"/>
  <c r="BF137" i="2"/>
  <c r="CJ137" i="2" s="1"/>
  <c r="BD137" i="2"/>
  <c r="AX137" i="2"/>
  <c r="AB137" i="2"/>
  <c r="P137" i="2"/>
  <c r="BE137" i="2" s="1"/>
  <c r="CT136" i="2"/>
  <c r="CI136" i="2"/>
  <c r="CG136" i="2"/>
  <c r="CF136" i="2"/>
  <c r="CE136" i="2"/>
  <c r="CD136" i="2"/>
  <c r="CC136" i="2"/>
  <c r="BI136" i="2"/>
  <c r="CM136" i="2" s="1"/>
  <c r="BH136" i="2"/>
  <c r="BG136" i="2"/>
  <c r="BD136" i="2"/>
  <c r="AX136" i="2"/>
  <c r="BF136" i="2" s="1"/>
  <c r="AE136" i="2"/>
  <c r="AB136" i="2"/>
  <c r="P136" i="2"/>
  <c r="BE136" i="2" s="1"/>
  <c r="CP136" i="2" s="1"/>
  <c r="CI135" i="2"/>
  <c r="CG135" i="2"/>
  <c r="CF135" i="2"/>
  <c r="CE135" i="2"/>
  <c r="CD135" i="2"/>
  <c r="CC135" i="2"/>
  <c r="BI135" i="2"/>
  <c r="BH135" i="2"/>
  <c r="BG135" i="2"/>
  <c r="CK135" i="2" s="1"/>
  <c r="BD135" i="2"/>
  <c r="AX135" i="2"/>
  <c r="BF135" i="2" s="1"/>
  <c r="AE135" i="2"/>
  <c r="AB135" i="2"/>
  <c r="P135" i="2"/>
  <c r="BE135" i="2" s="1"/>
  <c r="CP135" i="2" s="1"/>
  <c r="CT134" i="2"/>
  <c r="CI134" i="2"/>
  <c r="CG134" i="2"/>
  <c r="CF134" i="2"/>
  <c r="CE134" i="2"/>
  <c r="CD134" i="2"/>
  <c r="CC134" i="2"/>
  <c r="BI134" i="2"/>
  <c r="CM134" i="2" s="1"/>
  <c r="BH134" i="2"/>
  <c r="BG134" i="2"/>
  <c r="BD134" i="2"/>
  <c r="AX134" i="2"/>
  <c r="BF134" i="2" s="1"/>
  <c r="AE134" i="2"/>
  <c r="AB134" i="2"/>
  <c r="P134" i="2"/>
  <c r="BE134" i="2" s="1"/>
  <c r="CP134" i="2" s="1"/>
  <c r="CG133" i="2"/>
  <c r="CF133" i="2"/>
  <c r="CE133" i="2"/>
  <c r="CD133" i="2"/>
  <c r="CC133" i="2"/>
  <c r="BI133" i="2"/>
  <c r="BH133" i="2"/>
  <c r="BG133" i="2"/>
  <c r="CK133" i="2" s="1"/>
  <c r="BD133" i="2"/>
  <c r="AX133" i="2"/>
  <c r="BF133" i="2" s="1"/>
  <c r="AB133" i="2"/>
  <c r="P133" i="2"/>
  <c r="BE133" i="2" s="1"/>
  <c r="CP133" i="2" s="1"/>
  <c r="CS132" i="2"/>
  <c r="CG132" i="2"/>
  <c r="CM132" i="2" s="1"/>
  <c r="CF132" i="2"/>
  <c r="CE132" i="2"/>
  <c r="CD132" i="2"/>
  <c r="CC132" i="2"/>
  <c r="BI132" i="2"/>
  <c r="BH132" i="2"/>
  <c r="CL132" i="2" s="1"/>
  <c r="BA132" i="2"/>
  <c r="AZ132" i="2"/>
  <c r="AU132" i="2"/>
  <c r="AX132" i="2" s="1"/>
  <c r="BF132" i="2" s="1"/>
  <c r="AA132" i="2"/>
  <c r="AB132" i="2" s="1"/>
  <c r="L132" i="2"/>
  <c r="P132" i="2" s="1"/>
  <c r="H132" i="2"/>
  <c r="G132" i="2"/>
  <c r="CR131" i="2"/>
  <c r="CL131" i="2"/>
  <c r="CG131" i="2"/>
  <c r="CF131" i="2"/>
  <c r="CE131" i="2"/>
  <c r="CD131" i="2"/>
  <c r="CC131" i="2"/>
  <c r="BI131" i="2"/>
  <c r="BH131" i="2"/>
  <c r="BD131" i="2"/>
  <c r="AX131" i="2"/>
  <c r="BF131" i="2" s="1"/>
  <c r="AB131" i="2"/>
  <c r="P131" i="2"/>
  <c r="BG131" i="2" s="1"/>
  <c r="CK131" i="2" s="1"/>
  <c r="CQ130" i="2"/>
  <c r="CK130" i="2"/>
  <c r="CG130" i="2"/>
  <c r="CT130" i="2" s="1"/>
  <c r="CF130" i="2"/>
  <c r="CE130" i="2"/>
  <c r="CD130" i="2"/>
  <c r="CC130" i="2"/>
  <c r="BI130" i="2"/>
  <c r="BH130" i="2"/>
  <c r="BF130" i="2"/>
  <c r="CJ130" i="2" s="1"/>
  <c r="BE130" i="2"/>
  <c r="BD130" i="2"/>
  <c r="AX130" i="2"/>
  <c r="AE130" i="2"/>
  <c r="AB130" i="2"/>
  <c r="BG130" i="2" s="1"/>
  <c r="P130" i="2"/>
  <c r="CS129" i="2"/>
  <c r="CL129" i="2"/>
  <c r="CG129" i="2"/>
  <c r="CF129" i="2"/>
  <c r="CE129" i="2"/>
  <c r="CD129" i="2"/>
  <c r="CC129" i="2"/>
  <c r="BI129" i="2"/>
  <c r="BH129" i="2"/>
  <c r="BF129" i="2"/>
  <c r="CQ129" i="2" s="1"/>
  <c r="BD129" i="2"/>
  <c r="AX129" i="2"/>
  <c r="AE129" i="2"/>
  <c r="AB129" i="2"/>
  <c r="P129" i="2"/>
  <c r="BE129" i="2" s="1"/>
  <c r="CQ128" i="2"/>
  <c r="CG128" i="2"/>
  <c r="CT128" i="2" s="1"/>
  <c r="CF128" i="2"/>
  <c r="CE128" i="2"/>
  <c r="CD128" i="2"/>
  <c r="CC128" i="2"/>
  <c r="BI128" i="2"/>
  <c r="BH128" i="2"/>
  <c r="BF128" i="2"/>
  <c r="CJ128" i="2" s="1"/>
  <c r="BD128" i="2"/>
  <c r="AX128" i="2"/>
  <c r="AB128" i="2"/>
  <c r="P128" i="2"/>
  <c r="BE128" i="2" s="1"/>
  <c r="CI127" i="2"/>
  <c r="CG127" i="2"/>
  <c r="CF127" i="2"/>
  <c r="CE127" i="2"/>
  <c r="CD127" i="2"/>
  <c r="CC127" i="2"/>
  <c r="BI127" i="2"/>
  <c r="BH127" i="2"/>
  <c r="BG127" i="2"/>
  <c r="CK127" i="2" s="1"/>
  <c r="BD127" i="2"/>
  <c r="AX127" i="2"/>
  <c r="BF127" i="2" s="1"/>
  <c r="AE127" i="2"/>
  <c r="AB127" i="2"/>
  <c r="P127" i="2"/>
  <c r="BE127" i="2" s="1"/>
  <c r="CP127" i="2" s="1"/>
  <c r="CT126" i="2"/>
  <c r="CG126" i="2"/>
  <c r="CF126" i="2"/>
  <c r="CE126" i="2"/>
  <c r="CD126" i="2"/>
  <c r="CC126" i="2"/>
  <c r="BI126" i="2"/>
  <c r="CM126" i="2" s="1"/>
  <c r="BH126" i="2"/>
  <c r="BD126" i="2"/>
  <c r="BA126" i="2"/>
  <c r="AZ126" i="2"/>
  <c r="AY126" i="2"/>
  <c r="AX126" i="2"/>
  <c r="BF126" i="2" s="1"/>
  <c r="AU126" i="2"/>
  <c r="AN126" i="2"/>
  <c r="AM126" i="2"/>
  <c r="AE126" i="2"/>
  <c r="AB126" i="2"/>
  <c r="AA126" i="2"/>
  <c r="P126" i="2"/>
  <c r="L126" i="2"/>
  <c r="H126" i="2"/>
  <c r="CL125" i="2"/>
  <c r="CG125" i="2"/>
  <c r="CF125" i="2"/>
  <c r="CE125" i="2"/>
  <c r="CD125" i="2"/>
  <c r="CC125" i="2"/>
  <c r="BI125" i="2"/>
  <c r="BH125" i="2"/>
  <c r="BD125" i="2"/>
  <c r="AX125" i="2"/>
  <c r="BF125" i="2" s="1"/>
  <c r="AR125" i="2"/>
  <c r="AQ125" i="2"/>
  <c r="BE125" i="2" s="1"/>
  <c r="AL125" i="2"/>
  <c r="AM125" i="2" s="1"/>
  <c r="AK125" i="2"/>
  <c r="AI125" i="2"/>
  <c r="AH125" i="2"/>
  <c r="AG125" i="2"/>
  <c r="AE125" i="2"/>
  <c r="AC125" i="2"/>
  <c r="AA125" i="2"/>
  <c r="AB125" i="2" s="1"/>
  <c r="BG125" i="2" s="1"/>
  <c r="CK125" i="2" s="1"/>
  <c r="P125" i="2"/>
  <c r="H125" i="2"/>
  <c r="G125" i="2"/>
  <c r="CM124" i="2"/>
  <c r="CG124" i="2"/>
  <c r="CF124" i="2"/>
  <c r="CE124" i="2"/>
  <c r="CD124" i="2"/>
  <c r="CC124" i="2"/>
  <c r="BI124" i="2"/>
  <c r="BH124" i="2"/>
  <c r="CL124" i="2" s="1"/>
  <c r="BF124" i="2"/>
  <c r="CQ124" i="2" s="1"/>
  <c r="BD124" i="2"/>
  <c r="AX124" i="2"/>
  <c r="AR124" i="2"/>
  <c r="AQ124" i="2"/>
  <c r="BE124" i="2" s="1"/>
  <c r="AN124" i="2"/>
  <c r="AE124" i="2"/>
  <c r="AB124" i="2"/>
  <c r="BG124" i="2" s="1"/>
  <c r="AA124" i="2"/>
  <c r="P124" i="2"/>
  <c r="I124" i="2"/>
  <c r="H124" i="2"/>
  <c r="G124" i="2"/>
  <c r="CT123" i="2"/>
  <c r="CK123" i="2"/>
  <c r="CG123" i="2"/>
  <c r="CF123" i="2"/>
  <c r="CL123" i="2" s="1"/>
  <c r="CE123" i="2"/>
  <c r="CD123" i="2"/>
  <c r="CC123" i="2"/>
  <c r="BI123" i="2"/>
  <c r="CM123" i="2" s="1"/>
  <c r="BH123" i="2"/>
  <c r="CS123" i="2" s="1"/>
  <c r="BG123" i="2"/>
  <c r="CR123" i="2" s="1"/>
  <c r="BE123" i="2"/>
  <c r="CI123" i="2" s="1"/>
  <c r="BD123" i="2"/>
  <c r="AX123" i="2"/>
  <c r="BF123" i="2" s="1"/>
  <c r="AN123" i="2"/>
  <c r="AE123" i="2"/>
  <c r="AA123" i="2"/>
  <c r="AB123" i="2" s="1"/>
  <c r="P123" i="2"/>
  <c r="H123" i="2"/>
  <c r="G123" i="2"/>
  <c r="CT122" i="2"/>
  <c r="CG122" i="2"/>
  <c r="CF122" i="2"/>
  <c r="CL122" i="2" s="1"/>
  <c r="CE122" i="2"/>
  <c r="CD122" i="2"/>
  <c r="CC122" i="2"/>
  <c r="BI122" i="2"/>
  <c r="CM122" i="2" s="1"/>
  <c r="BH122" i="2"/>
  <c r="CS122" i="2" s="1"/>
  <c r="BE122" i="2"/>
  <c r="CI122" i="2" s="1"/>
  <c r="BA122" i="2"/>
  <c r="AZ122" i="2"/>
  <c r="AY122" i="2"/>
  <c r="BD122" i="2" s="1"/>
  <c r="AU122" i="2"/>
  <c r="AX122" i="2" s="1"/>
  <c r="BF122" i="2" s="1"/>
  <c r="AN122" i="2"/>
  <c r="AM122" i="2"/>
  <c r="AE122" i="2"/>
  <c r="AB122" i="2"/>
  <c r="X122" i="2"/>
  <c r="P122" i="2"/>
  <c r="H122" i="2"/>
  <c r="G122" i="2"/>
  <c r="CT121" i="2"/>
  <c r="CG121" i="2"/>
  <c r="CF121" i="2"/>
  <c r="CE121" i="2"/>
  <c r="CD121" i="2"/>
  <c r="CC121" i="2"/>
  <c r="BI121" i="2"/>
  <c r="CM121" i="2" s="1"/>
  <c r="BH121" i="2"/>
  <c r="CS121" i="2" s="1"/>
  <c r="BD121" i="2"/>
  <c r="AX121" i="2"/>
  <c r="BF121" i="2" s="1"/>
  <c r="AN121" i="2"/>
  <c r="AM121" i="2"/>
  <c r="AE121" i="2"/>
  <c r="AB121" i="2"/>
  <c r="AA121" i="2"/>
  <c r="P121" i="2"/>
  <c r="BE121" i="2" s="1"/>
  <c r="H121" i="2"/>
  <c r="G121" i="2"/>
  <c r="CS120" i="2"/>
  <c r="CG120" i="2"/>
  <c r="CF120" i="2"/>
  <c r="CE120" i="2"/>
  <c r="CD120" i="2"/>
  <c r="CC120" i="2"/>
  <c r="BI120" i="2"/>
  <c r="CT120" i="2" s="1"/>
  <c r="BH120" i="2"/>
  <c r="CL120" i="2" s="1"/>
  <c r="BF120" i="2"/>
  <c r="CQ120" i="2" s="1"/>
  <c r="BD120" i="2"/>
  <c r="AX120" i="2"/>
  <c r="AN120" i="2"/>
  <c r="AM120" i="2"/>
  <c r="AE120" i="2"/>
  <c r="AB120" i="2"/>
  <c r="BG120" i="2" s="1"/>
  <c r="R120" i="2"/>
  <c r="P120" i="2"/>
  <c r="BE120" i="2" s="1"/>
  <c r="H120" i="2"/>
  <c r="CG119" i="2"/>
  <c r="CT119" i="2" s="1"/>
  <c r="CF119" i="2"/>
  <c r="CE119" i="2"/>
  <c r="CD119" i="2"/>
  <c r="CC119" i="2"/>
  <c r="BI119" i="2"/>
  <c r="BH119" i="2"/>
  <c r="CS119" i="2" s="1"/>
  <c r="BE119" i="2"/>
  <c r="BA119" i="2"/>
  <c r="AZ119" i="2"/>
  <c r="AY119" i="2"/>
  <c r="BD119" i="2" s="1"/>
  <c r="AX119" i="2"/>
  <c r="BF119" i="2" s="1"/>
  <c r="AN119" i="2"/>
  <c r="AM119" i="2"/>
  <c r="AE119" i="2"/>
  <c r="AB119" i="2"/>
  <c r="P119" i="2"/>
  <c r="R119" i="2" s="1"/>
  <c r="H119" i="2"/>
  <c r="G119" i="2"/>
  <c r="CQ118" i="2"/>
  <c r="CG118" i="2"/>
  <c r="CT118" i="2" s="1"/>
  <c r="CF118" i="2"/>
  <c r="CE118" i="2"/>
  <c r="CK118" i="2" s="1"/>
  <c r="CD118" i="2"/>
  <c r="CC118" i="2"/>
  <c r="BI118" i="2"/>
  <c r="BH118" i="2"/>
  <c r="BF118" i="2"/>
  <c r="CJ118" i="2" s="1"/>
  <c r="BD118" i="2"/>
  <c r="AX118" i="2"/>
  <c r="AN118" i="2"/>
  <c r="AM118" i="2"/>
  <c r="AE118" i="2"/>
  <c r="AA118" i="2"/>
  <c r="AB118" i="2" s="1"/>
  <c r="BG118" i="2" s="1"/>
  <c r="P118" i="2"/>
  <c r="R118" i="2" s="1"/>
  <c r="L118" i="2"/>
  <c r="H118" i="2"/>
  <c r="G118" i="2"/>
  <c r="CT116" i="2"/>
  <c r="CS116" i="2"/>
  <c r="CM116" i="2"/>
  <c r="CG116" i="2"/>
  <c r="CF116" i="2"/>
  <c r="CE116" i="2"/>
  <c r="CD116" i="2"/>
  <c r="CC116" i="2"/>
  <c r="BI116" i="2"/>
  <c r="BH116" i="2"/>
  <c r="CL116" i="2" s="1"/>
  <c r="BG116" i="2"/>
  <c r="CR116" i="2" s="1"/>
  <c r="BE116" i="2"/>
  <c r="BD116" i="2"/>
  <c r="AX116" i="2"/>
  <c r="BF116" i="2" s="1"/>
  <c r="CQ116" i="2" s="1"/>
  <c r="AN116" i="2"/>
  <c r="AE116" i="2"/>
  <c r="AB116" i="2"/>
  <c r="R116" i="2"/>
  <c r="P116" i="2"/>
  <c r="CQ115" i="2"/>
  <c r="CG115" i="2"/>
  <c r="CT115" i="2" s="1"/>
  <c r="CF115" i="2"/>
  <c r="CL115" i="2" s="1"/>
  <c r="CE115" i="2"/>
  <c r="CD115" i="2"/>
  <c r="CC115" i="2"/>
  <c r="BI115" i="2"/>
  <c r="BH115" i="2"/>
  <c r="CS115" i="2" s="1"/>
  <c r="BE115" i="2"/>
  <c r="CP115" i="2" s="1"/>
  <c r="BB115" i="2"/>
  <c r="BA115" i="2"/>
  <c r="AZ115" i="2"/>
  <c r="AV115" i="2"/>
  <c r="AT115" i="2"/>
  <c r="AX115" i="2" s="1"/>
  <c r="BF115" i="2" s="1"/>
  <c r="CJ115" i="2" s="1"/>
  <c r="AN115" i="2"/>
  <c r="AE115" i="2"/>
  <c r="AB115" i="2"/>
  <c r="BG115" i="2" s="1"/>
  <c r="CR115" i="2" s="1"/>
  <c r="R115" i="2"/>
  <c r="P115" i="2"/>
  <c r="CS114" i="2"/>
  <c r="CL114" i="2"/>
  <c r="CG114" i="2"/>
  <c r="CF114" i="2"/>
  <c r="CE114" i="2"/>
  <c r="CD114" i="2"/>
  <c r="CC114" i="2"/>
  <c r="BI114" i="2"/>
  <c r="BH114" i="2"/>
  <c r="BD114" i="2"/>
  <c r="BA114" i="2"/>
  <c r="AX114" i="2"/>
  <c r="BF114" i="2" s="1"/>
  <c r="AR114" i="2"/>
  <c r="AQ114" i="2"/>
  <c r="BE114" i="2" s="1"/>
  <c r="AN114" i="2"/>
  <c r="AE114" i="2"/>
  <c r="AB114" i="2"/>
  <c r="BG114" i="2" s="1"/>
  <c r="CR114" i="2" s="1"/>
  <c r="R114" i="2"/>
  <c r="P114" i="2"/>
  <c r="H114" i="2"/>
  <c r="CL113" i="2"/>
  <c r="CI113" i="2"/>
  <c r="CG113" i="2"/>
  <c r="CM113" i="2" s="1"/>
  <c r="CF113" i="2"/>
  <c r="CE113" i="2"/>
  <c r="CD113" i="2"/>
  <c r="CC113" i="2"/>
  <c r="BI113" i="2"/>
  <c r="CT113" i="2" s="1"/>
  <c r="BH113" i="2"/>
  <c r="CS113" i="2" s="1"/>
  <c r="BG113" i="2"/>
  <c r="BD113" i="2"/>
  <c r="AX113" i="2"/>
  <c r="BF113" i="2" s="1"/>
  <c r="AN113" i="2"/>
  <c r="AE113" i="2"/>
  <c r="AB113" i="2"/>
  <c r="X113" i="2"/>
  <c r="R113" i="2"/>
  <c r="P113" i="2"/>
  <c r="BE113" i="2" s="1"/>
  <c r="CP113" i="2" s="1"/>
  <c r="CT112" i="2"/>
  <c r="CM112" i="2"/>
  <c r="CG112" i="2"/>
  <c r="CF112" i="2"/>
  <c r="CL112" i="2" s="1"/>
  <c r="CE112" i="2"/>
  <c r="CD112" i="2"/>
  <c r="CC112" i="2"/>
  <c r="BI112" i="2"/>
  <c r="BH112" i="2"/>
  <c r="CS112" i="2" s="1"/>
  <c r="BF112" i="2"/>
  <c r="BD112" i="2"/>
  <c r="AX112" i="2"/>
  <c r="AN112" i="2"/>
  <c r="AE112" i="2"/>
  <c r="Y112" i="2"/>
  <c r="AB112" i="2" s="1"/>
  <c r="P112" i="2"/>
  <c r="H112" i="2"/>
  <c r="G112" i="2"/>
  <c r="CL111" i="2"/>
  <c r="CI111" i="2"/>
  <c r="CG111" i="2"/>
  <c r="CM111" i="2" s="1"/>
  <c r="CF111" i="2"/>
  <c r="CE111" i="2"/>
  <c r="CD111" i="2"/>
  <c r="CC111" i="2"/>
  <c r="BI111" i="2"/>
  <c r="CT111" i="2" s="1"/>
  <c r="BH111" i="2"/>
  <c r="CS111" i="2" s="1"/>
  <c r="BD111" i="2"/>
  <c r="AX111" i="2"/>
  <c r="BF111" i="2" s="1"/>
  <c r="AB111" i="2"/>
  <c r="BG111" i="2" s="1"/>
  <c r="AA111" i="2"/>
  <c r="R111" i="2"/>
  <c r="P111" i="2"/>
  <c r="BE111" i="2" s="1"/>
  <c r="CP111" i="2" s="1"/>
  <c r="CM110" i="2"/>
  <c r="CG110" i="2"/>
  <c r="CF110" i="2"/>
  <c r="CE110" i="2"/>
  <c r="CD110" i="2"/>
  <c r="CC110" i="2"/>
  <c r="BI110" i="2"/>
  <c r="CT110" i="2" s="1"/>
  <c r="BH110" i="2"/>
  <c r="BD110" i="2"/>
  <c r="AX110" i="2"/>
  <c r="BF110" i="2" s="1"/>
  <c r="AN110" i="2"/>
  <c r="AM110" i="2"/>
  <c r="AE110" i="2"/>
  <c r="AB110" i="2"/>
  <c r="BG110" i="2" s="1"/>
  <c r="Y110" i="2"/>
  <c r="X110" i="2"/>
  <c r="P110" i="2"/>
  <c r="G110" i="2"/>
  <c r="CT109" i="2"/>
  <c r="CM109" i="2"/>
  <c r="CG109" i="2"/>
  <c r="CF109" i="2"/>
  <c r="CE109" i="2"/>
  <c r="CD109" i="2"/>
  <c r="CC109" i="2"/>
  <c r="BI109" i="2"/>
  <c r="BH109" i="2"/>
  <c r="BD109" i="2"/>
  <c r="AX109" i="2"/>
  <c r="BF109" i="2" s="1"/>
  <c r="AE109" i="2"/>
  <c r="AB109" i="2"/>
  <c r="P109" i="2"/>
  <c r="H109" i="2"/>
  <c r="G109" i="2"/>
  <c r="CQ108" i="2"/>
  <c r="CL108" i="2"/>
  <c r="CG108" i="2"/>
  <c r="CM108" i="2" s="1"/>
  <c r="CF108" i="2"/>
  <c r="CE108" i="2"/>
  <c r="CD108" i="2"/>
  <c r="CC108" i="2"/>
  <c r="BI108" i="2"/>
  <c r="CT108" i="2" s="1"/>
  <c r="BH108" i="2"/>
  <c r="CS108" i="2" s="1"/>
  <c r="BF108" i="2"/>
  <c r="CJ108" i="2" s="1"/>
  <c r="BD108" i="2"/>
  <c r="AX108" i="2"/>
  <c r="AE108" i="2"/>
  <c r="AB108" i="2"/>
  <c r="R108" i="2"/>
  <c r="P108" i="2"/>
  <c r="BE108" i="2" s="1"/>
  <c r="H108" i="2"/>
  <c r="G108" i="2"/>
  <c r="CG107" i="2"/>
  <c r="CF107" i="2"/>
  <c r="CL107" i="2" s="1"/>
  <c r="CE107" i="2"/>
  <c r="CD107" i="2"/>
  <c r="CC107" i="2"/>
  <c r="BI107" i="2"/>
  <c r="CM107" i="2" s="1"/>
  <c r="BH107" i="2"/>
  <c r="CS107" i="2" s="1"/>
  <c r="BE107" i="2"/>
  <c r="BD107" i="2"/>
  <c r="AX107" i="2"/>
  <c r="BF107" i="2" s="1"/>
  <c r="AE107" i="2"/>
  <c r="AB107" i="2"/>
  <c r="BG107" i="2" s="1"/>
  <c r="CR107" i="2" s="1"/>
  <c r="P107" i="2"/>
  <c r="R107" i="2" s="1"/>
  <c r="H107" i="2"/>
  <c r="CM106" i="2"/>
  <c r="CG106" i="2"/>
  <c r="CF106" i="2"/>
  <c r="CE106" i="2"/>
  <c r="CD106" i="2"/>
  <c r="CC106" i="2"/>
  <c r="BI106" i="2"/>
  <c r="CT106" i="2" s="1"/>
  <c r="BH106" i="2"/>
  <c r="CL106" i="2" s="1"/>
  <c r="BB106" i="2"/>
  <c r="BD106" i="2" s="1"/>
  <c r="AZ106" i="2"/>
  <c r="AX106" i="2"/>
  <c r="BF106" i="2" s="1"/>
  <c r="AA106" i="2"/>
  <c r="L106" i="2"/>
  <c r="P106" i="2" s="1"/>
  <c r="H106" i="2"/>
  <c r="CM105" i="2"/>
  <c r="CG105" i="2"/>
  <c r="CF105" i="2"/>
  <c r="CE105" i="2"/>
  <c r="CD105" i="2"/>
  <c r="CC105" i="2"/>
  <c r="BI105" i="2"/>
  <c r="CT105" i="2" s="1"/>
  <c r="BH105" i="2"/>
  <c r="CL105" i="2" s="1"/>
  <c r="BA105" i="2"/>
  <c r="BD105" i="2" s="1"/>
  <c r="AX105" i="2"/>
  <c r="BF105" i="2" s="1"/>
  <c r="AR105" i="2"/>
  <c r="AQ105" i="2"/>
  <c r="AN105" i="2"/>
  <c r="AE105" i="2"/>
  <c r="AB105" i="2"/>
  <c r="P105" i="2"/>
  <c r="H105" i="2"/>
  <c r="G105" i="2"/>
  <c r="CQ104" i="2"/>
  <c r="CL104" i="2"/>
  <c r="CG104" i="2"/>
  <c r="CM104" i="2" s="1"/>
  <c r="CF104" i="2"/>
  <c r="CE104" i="2"/>
  <c r="CD104" i="2"/>
  <c r="CC104" i="2"/>
  <c r="BI104" i="2"/>
  <c r="CT104" i="2" s="1"/>
  <c r="BH104" i="2"/>
  <c r="CS104" i="2" s="1"/>
  <c r="BF104" i="2"/>
  <c r="CJ104" i="2" s="1"/>
  <c r="BD104" i="2"/>
  <c r="AX104" i="2"/>
  <c r="P104" i="2"/>
  <c r="H104" i="2"/>
  <c r="G104" i="2"/>
  <c r="CQ103" i="2"/>
  <c r="CL103" i="2"/>
  <c r="CG103" i="2"/>
  <c r="CM103" i="2" s="1"/>
  <c r="CF103" i="2"/>
  <c r="CE103" i="2"/>
  <c r="CD103" i="2"/>
  <c r="CC103" i="2"/>
  <c r="BI103" i="2"/>
  <c r="CT103" i="2" s="1"/>
  <c r="BH103" i="2"/>
  <c r="CS103" i="2" s="1"/>
  <c r="BF103" i="2"/>
  <c r="CJ103" i="2" s="1"/>
  <c r="BD103" i="2"/>
  <c r="AX103" i="2"/>
  <c r="AN103" i="2"/>
  <c r="AM103" i="2"/>
  <c r="AE103" i="2"/>
  <c r="AA103" i="2"/>
  <c r="AB103" i="2" s="1"/>
  <c r="BG103" i="2" s="1"/>
  <c r="X103" i="2"/>
  <c r="P103" i="2"/>
  <c r="BE103" i="2" s="1"/>
  <c r="L103" i="2"/>
  <c r="CR102" i="2"/>
  <c r="CM102" i="2"/>
  <c r="CI102" i="2"/>
  <c r="CG102" i="2"/>
  <c r="CF102" i="2"/>
  <c r="CE102" i="2"/>
  <c r="CD102" i="2"/>
  <c r="CC102" i="2"/>
  <c r="BI102" i="2"/>
  <c r="CT102" i="2" s="1"/>
  <c r="BH102" i="2"/>
  <c r="CL102" i="2" s="1"/>
  <c r="BG102" i="2"/>
  <c r="CK102" i="2" s="1"/>
  <c r="BE102" i="2"/>
  <c r="CP102" i="2" s="1"/>
  <c r="BD102" i="2"/>
  <c r="AX102" i="2"/>
  <c r="BF102" i="2" s="1"/>
  <c r="AE102" i="2"/>
  <c r="AB102" i="2"/>
  <c r="P102" i="2"/>
  <c r="CM101" i="2"/>
  <c r="CG101" i="2"/>
  <c r="CF101" i="2"/>
  <c r="CE101" i="2"/>
  <c r="CD101" i="2"/>
  <c r="CC101" i="2"/>
  <c r="BI101" i="2"/>
  <c r="CT101" i="2" s="1"/>
  <c r="BH101" i="2"/>
  <c r="CL101" i="2" s="1"/>
  <c r="BG101" i="2"/>
  <c r="CK101" i="2" s="1"/>
  <c r="AZ101" i="2"/>
  <c r="BD101" i="2" s="1"/>
  <c r="AY101" i="2"/>
  <c r="AX101" i="2"/>
  <c r="BF101" i="2" s="1"/>
  <c r="AS101" i="2"/>
  <c r="AE101" i="2"/>
  <c r="AB101" i="2"/>
  <c r="P101" i="2"/>
  <c r="BE101" i="2" s="1"/>
  <c r="H101" i="2"/>
  <c r="G101" i="2"/>
  <c r="CJ100" i="2"/>
  <c r="CG100" i="2"/>
  <c r="CF100" i="2"/>
  <c r="CE100" i="2"/>
  <c r="CD100" i="2"/>
  <c r="CC100" i="2"/>
  <c r="BI100" i="2"/>
  <c r="CM100" i="2" s="1"/>
  <c r="BH100" i="2"/>
  <c r="BF100" i="2"/>
  <c r="CQ100" i="2" s="1"/>
  <c r="BD100" i="2"/>
  <c r="AX100" i="2"/>
  <c r="AR100" i="2"/>
  <c r="AQ100" i="2"/>
  <c r="AN100" i="2"/>
  <c r="AM100" i="2"/>
  <c r="AE100" i="2"/>
  <c r="AA100" i="2"/>
  <c r="AB100" i="2" s="1"/>
  <c r="BG100" i="2" s="1"/>
  <c r="L100" i="2"/>
  <c r="P100" i="2" s="1"/>
  <c r="CQ99" i="2"/>
  <c r="CL99" i="2"/>
  <c r="CG99" i="2"/>
  <c r="CM99" i="2" s="1"/>
  <c r="CF99" i="2"/>
  <c r="CE99" i="2"/>
  <c r="CD99" i="2"/>
  <c r="CC99" i="2"/>
  <c r="BI99" i="2"/>
  <c r="BH99" i="2"/>
  <c r="CS99" i="2" s="1"/>
  <c r="BF99" i="2"/>
  <c r="CJ99" i="2" s="1"/>
  <c r="BD99" i="2"/>
  <c r="AX99" i="2"/>
  <c r="AE99" i="2"/>
  <c r="AB99" i="2"/>
  <c r="P99" i="2"/>
  <c r="BE99" i="2" s="1"/>
  <c r="CQ98" i="2"/>
  <c r="CL98" i="2"/>
  <c r="CG98" i="2"/>
  <c r="CM98" i="2" s="1"/>
  <c r="CF98" i="2"/>
  <c r="CE98" i="2"/>
  <c r="CD98" i="2"/>
  <c r="CC98" i="2"/>
  <c r="BI98" i="2"/>
  <c r="BH98" i="2"/>
  <c r="CS98" i="2" s="1"/>
  <c r="BF98" i="2"/>
  <c r="CJ98" i="2" s="1"/>
  <c r="BA98" i="2"/>
  <c r="AZ98" i="2"/>
  <c r="BD98" i="2" s="1"/>
  <c r="AY98" i="2"/>
  <c r="AX98" i="2"/>
  <c r="X98" i="2"/>
  <c r="AB98" i="2" s="1"/>
  <c r="BG98" i="2" s="1"/>
  <c r="P98" i="2"/>
  <c r="BE98" i="2" s="1"/>
  <c r="CT97" i="2"/>
  <c r="CG97" i="2"/>
  <c r="CF97" i="2"/>
  <c r="CL97" i="2" s="1"/>
  <c r="CE97" i="2"/>
  <c r="CD97" i="2"/>
  <c r="CC97" i="2"/>
  <c r="BI97" i="2"/>
  <c r="CM97" i="2" s="1"/>
  <c r="BH97" i="2"/>
  <c r="BD97" i="2"/>
  <c r="AX97" i="2"/>
  <c r="BF97" i="2" s="1"/>
  <c r="AR97" i="2"/>
  <c r="AQ97" i="2"/>
  <c r="BE97" i="2" s="1"/>
  <c r="AN97" i="2"/>
  <c r="AE97" i="2"/>
  <c r="AA97" i="2"/>
  <c r="AB97" i="2" s="1"/>
  <c r="BG97" i="2" s="1"/>
  <c r="CR97" i="2" s="1"/>
  <c r="P97" i="2"/>
  <c r="H97" i="2"/>
  <c r="G97" i="2"/>
  <c r="CM96" i="2"/>
  <c r="CI96" i="2"/>
  <c r="CG96" i="2"/>
  <c r="CF96" i="2"/>
  <c r="CE96" i="2"/>
  <c r="CD96" i="2"/>
  <c r="CC96" i="2"/>
  <c r="BI96" i="2"/>
  <c r="CT96" i="2" s="1"/>
  <c r="BH96" i="2"/>
  <c r="CL96" i="2" s="1"/>
  <c r="BG96" i="2"/>
  <c r="BE96" i="2"/>
  <c r="CP96" i="2" s="1"/>
  <c r="BD96" i="2"/>
  <c r="AX96" i="2"/>
  <c r="BF96" i="2" s="1"/>
  <c r="AN96" i="2"/>
  <c r="AE96" i="2"/>
  <c r="AA96" i="2"/>
  <c r="AB96" i="2" s="1"/>
  <c r="P96" i="2"/>
  <c r="H96" i="2"/>
  <c r="G96" i="2"/>
  <c r="CM95" i="2"/>
  <c r="CG95" i="2"/>
  <c r="CF95" i="2"/>
  <c r="CE95" i="2"/>
  <c r="CD95" i="2"/>
  <c r="CC95" i="2"/>
  <c r="BI95" i="2"/>
  <c r="CT95" i="2" s="1"/>
  <c r="BH95" i="2"/>
  <c r="CL95" i="2" s="1"/>
  <c r="BD95" i="2"/>
  <c r="AX95" i="2"/>
  <c r="BF95" i="2" s="1"/>
  <c r="AR95" i="2"/>
  <c r="AQ95" i="2"/>
  <c r="AM95" i="2"/>
  <c r="AL95" i="2"/>
  <c r="AK95" i="2"/>
  <c r="AN95" i="2" s="1"/>
  <c r="AI95" i="2"/>
  <c r="AH95" i="2"/>
  <c r="AG95" i="2"/>
  <c r="AE95" i="2"/>
  <c r="AC95" i="2"/>
  <c r="AA95" i="2"/>
  <c r="Z95" i="2"/>
  <c r="X95" i="2"/>
  <c r="S95" i="2"/>
  <c r="O95" i="2"/>
  <c r="N95" i="2"/>
  <c r="M95" i="2"/>
  <c r="L95" i="2"/>
  <c r="P95" i="2" s="1"/>
  <c r="BG95" i="2" s="1"/>
  <c r="H95" i="2"/>
  <c r="G95" i="2"/>
  <c r="CQ94" i="2"/>
  <c r="CL94" i="2"/>
  <c r="CG94" i="2"/>
  <c r="CM94" i="2" s="1"/>
  <c r="CF94" i="2"/>
  <c r="CE94" i="2"/>
  <c r="CD94" i="2"/>
  <c r="CC94" i="2"/>
  <c r="BI94" i="2"/>
  <c r="BH94" i="2"/>
  <c r="CS94" i="2" s="1"/>
  <c r="BF94" i="2"/>
  <c r="CJ94" i="2" s="1"/>
  <c r="BD94" i="2"/>
  <c r="AX94" i="2"/>
  <c r="AR94" i="2"/>
  <c r="AQ94" i="2"/>
  <c r="BE94" i="2" s="1"/>
  <c r="AN94" i="2"/>
  <c r="AM94" i="2"/>
  <c r="AE94" i="2"/>
  <c r="AB94" i="2"/>
  <c r="P94" i="2"/>
  <c r="BG94" i="2" s="1"/>
  <c r="L94" i="2"/>
  <c r="CM93" i="2"/>
  <c r="CG93" i="2"/>
  <c r="CF93" i="2"/>
  <c r="CE93" i="2"/>
  <c r="CD93" i="2"/>
  <c r="CC93" i="2"/>
  <c r="BI93" i="2"/>
  <c r="CT93" i="2" s="1"/>
  <c r="BH93" i="2"/>
  <c r="CL93" i="2" s="1"/>
  <c r="BD93" i="2"/>
  <c r="AX93" i="2"/>
  <c r="BF93" i="2" s="1"/>
  <c r="AR93" i="2"/>
  <c r="AQ93" i="2"/>
  <c r="BE93" i="2" s="1"/>
  <c r="CP93" i="2" s="1"/>
  <c r="AA93" i="2"/>
  <c r="AB93" i="2" s="1"/>
  <c r="BG93" i="2" s="1"/>
  <c r="P93" i="2"/>
  <c r="R93" i="2" s="1"/>
  <c r="H93" i="2"/>
  <c r="G93" i="2"/>
  <c r="CJ92" i="2"/>
  <c r="CG92" i="2"/>
  <c r="CF92" i="2"/>
  <c r="CE92" i="2"/>
  <c r="CD92" i="2"/>
  <c r="CC92" i="2"/>
  <c r="BI92" i="2"/>
  <c r="CM92" i="2" s="1"/>
  <c r="BH92" i="2"/>
  <c r="CL92" i="2" s="1"/>
  <c r="BF92" i="2"/>
  <c r="CQ92" i="2" s="1"/>
  <c r="BD92" i="2"/>
  <c r="AX92" i="2"/>
  <c r="AN92" i="2"/>
  <c r="AM92" i="2"/>
  <c r="AE92" i="2"/>
  <c r="Y92" i="2"/>
  <c r="X92" i="2"/>
  <c r="P92" i="2"/>
  <c r="R92" i="2" s="1"/>
  <c r="H92" i="2"/>
  <c r="G92" i="2"/>
  <c r="CJ91" i="2"/>
  <c r="CG91" i="2"/>
  <c r="CF91" i="2"/>
  <c r="CE91" i="2"/>
  <c r="CD91" i="2"/>
  <c r="CC91" i="2"/>
  <c r="BI91" i="2"/>
  <c r="CM91" i="2" s="1"/>
  <c r="BH91" i="2"/>
  <c r="BF91" i="2"/>
  <c r="CQ91" i="2" s="1"/>
  <c r="BD91" i="2"/>
  <c r="AX91" i="2"/>
  <c r="AR91" i="2"/>
  <c r="AQ91" i="2"/>
  <c r="BE91" i="2" s="1"/>
  <c r="AN91" i="2"/>
  <c r="AM91" i="2"/>
  <c r="AE91" i="2"/>
  <c r="AA91" i="2"/>
  <c r="AB91" i="2" s="1"/>
  <c r="BG91" i="2" s="1"/>
  <c r="P91" i="2"/>
  <c r="R91" i="2" s="1"/>
  <c r="H91" i="2"/>
  <c r="G91" i="2"/>
  <c r="CG90" i="2"/>
  <c r="CF90" i="2"/>
  <c r="CE90" i="2"/>
  <c r="CD90" i="2"/>
  <c r="CC90" i="2"/>
  <c r="BI90" i="2"/>
  <c r="CM90" i="2" s="1"/>
  <c r="BH90" i="2"/>
  <c r="CL90" i="2" s="1"/>
  <c r="BC90" i="2"/>
  <c r="BB90" i="2"/>
  <c r="BA90" i="2"/>
  <c r="AZ90" i="2"/>
  <c r="BD90" i="2" s="1"/>
  <c r="AY90" i="2"/>
  <c r="AW90" i="2"/>
  <c r="AV90" i="2"/>
  <c r="AU90" i="2"/>
  <c r="AS90" i="2"/>
  <c r="AX90" i="2" s="1"/>
  <c r="BF90" i="2" s="1"/>
  <c r="AR90" i="2"/>
  <c r="AQ90" i="2"/>
  <c r="AL90" i="2"/>
  <c r="AM90" i="2" s="1"/>
  <c r="AK90" i="2"/>
  <c r="AI90" i="2"/>
  <c r="AH90" i="2"/>
  <c r="AG90" i="2"/>
  <c r="AC90" i="2"/>
  <c r="AE90" i="2" s="1"/>
  <c r="Z90" i="2"/>
  <c r="Y90" i="2"/>
  <c r="AA90" i="2" s="1"/>
  <c r="X90" i="2"/>
  <c r="W90" i="2"/>
  <c r="V90" i="2"/>
  <c r="U90" i="2"/>
  <c r="T90" i="2"/>
  <c r="S90" i="2"/>
  <c r="Q90" i="2"/>
  <c r="O90" i="2"/>
  <c r="N90" i="2"/>
  <c r="M90" i="2"/>
  <c r="L90" i="2"/>
  <c r="K90" i="2"/>
  <c r="J90" i="2"/>
  <c r="I90" i="2"/>
  <c r="H90" i="2"/>
  <c r="G90" i="2"/>
  <c r="CQ89" i="2"/>
  <c r="CL89" i="2"/>
  <c r="CG89" i="2"/>
  <c r="CM89" i="2" s="1"/>
  <c r="CF89" i="2"/>
  <c r="CE89" i="2"/>
  <c r="CD89" i="2"/>
  <c r="CC89" i="2"/>
  <c r="BI89" i="2"/>
  <c r="BH89" i="2"/>
  <c r="CS89" i="2" s="1"/>
  <c r="BF89" i="2"/>
  <c r="CJ89" i="2" s="1"/>
  <c r="BD89" i="2"/>
  <c r="AX89" i="2"/>
  <c r="AN89" i="2"/>
  <c r="AM89" i="2"/>
  <c r="AE89" i="2"/>
  <c r="AB89" i="2"/>
  <c r="Q89" i="2"/>
  <c r="N89" i="2"/>
  <c r="L89" i="2"/>
  <c r="P89" i="2" s="1"/>
  <c r="K89" i="2"/>
  <c r="J89" i="2"/>
  <c r="I89" i="2"/>
  <c r="H89" i="2"/>
  <c r="G89" i="2"/>
  <c r="CG88" i="2"/>
  <c r="CF88" i="2"/>
  <c r="CL88" i="2" s="1"/>
  <c r="CE88" i="2"/>
  <c r="CD88" i="2"/>
  <c r="CC88" i="2"/>
  <c r="BI88" i="2"/>
  <c r="CM88" i="2" s="1"/>
  <c r="BH88" i="2"/>
  <c r="BG88" i="2"/>
  <c r="CK88" i="2" s="1"/>
  <c r="BD88" i="2"/>
  <c r="AX88" i="2"/>
  <c r="BF88" i="2" s="1"/>
  <c r="AA88" i="2"/>
  <c r="AB88" i="2" s="1"/>
  <c r="P88" i="2"/>
  <c r="R88" i="2" s="1"/>
  <c r="H88" i="2"/>
  <c r="G88" i="2"/>
  <c r="CQ87" i="2"/>
  <c r="CL87" i="2"/>
  <c r="CG87" i="2"/>
  <c r="CF87" i="2"/>
  <c r="CE87" i="2"/>
  <c r="CD87" i="2"/>
  <c r="CC87" i="2"/>
  <c r="BI87" i="2"/>
  <c r="BH87" i="2"/>
  <c r="CS87" i="2" s="1"/>
  <c r="BF87" i="2"/>
  <c r="CJ87" i="2" s="1"/>
  <c r="BD87" i="2"/>
  <c r="AX87" i="2"/>
  <c r="AN87" i="2"/>
  <c r="AM87" i="2"/>
  <c r="AE87" i="2"/>
  <c r="AA87" i="2"/>
  <c r="AB87" i="2" s="1"/>
  <c r="P87" i="2"/>
  <c r="H87" i="2"/>
  <c r="G87" i="2"/>
  <c r="CS86" i="2"/>
  <c r="CG86" i="2"/>
  <c r="CM86" i="2" s="1"/>
  <c r="CF86" i="2"/>
  <c r="CE86" i="2"/>
  <c r="CD86" i="2"/>
  <c r="CC86" i="2"/>
  <c r="BI86" i="2"/>
  <c r="CT86" i="2" s="1"/>
  <c r="BH86" i="2"/>
  <c r="CL86" i="2" s="1"/>
  <c r="BF86" i="2"/>
  <c r="CQ86" i="2" s="1"/>
  <c r="BD86" i="2"/>
  <c r="AX86" i="2"/>
  <c r="AR86" i="2"/>
  <c r="AQ86" i="2"/>
  <c r="BE86" i="2" s="1"/>
  <c r="AM86" i="2"/>
  <c r="AE86" i="2"/>
  <c r="Z86" i="2"/>
  <c r="X86" i="2"/>
  <c r="R86" i="2"/>
  <c r="P86" i="2"/>
  <c r="H86" i="2"/>
  <c r="G86" i="2"/>
  <c r="CR85" i="2"/>
  <c r="CI85" i="2"/>
  <c r="CG85" i="2"/>
  <c r="CF85" i="2"/>
  <c r="CE85" i="2"/>
  <c r="CD85" i="2"/>
  <c r="CC85" i="2"/>
  <c r="BI85" i="2"/>
  <c r="CM85" i="2" s="1"/>
  <c r="BH85" i="2"/>
  <c r="BG85" i="2"/>
  <c r="CK85" i="2" s="1"/>
  <c r="BE85" i="2"/>
  <c r="CP85" i="2" s="1"/>
  <c r="BD85" i="2"/>
  <c r="AX85" i="2"/>
  <c r="BF85" i="2" s="1"/>
  <c r="AN85" i="2"/>
  <c r="AM85" i="2"/>
  <c r="AE85" i="2"/>
  <c r="AB85" i="2"/>
  <c r="AA85" i="2"/>
  <c r="R85" i="2"/>
  <c r="P85" i="2"/>
  <c r="H85" i="2"/>
  <c r="G85" i="2"/>
  <c r="CT84" i="2"/>
  <c r="CG84" i="2"/>
  <c r="CF84" i="2"/>
  <c r="CL84" i="2" s="1"/>
  <c r="CE84" i="2"/>
  <c r="CD84" i="2"/>
  <c r="CC84" i="2"/>
  <c r="BI84" i="2"/>
  <c r="CM84" i="2" s="1"/>
  <c r="BH84" i="2"/>
  <c r="CS84" i="2" s="1"/>
  <c r="BD84" i="2"/>
  <c r="AX84" i="2"/>
  <c r="BF84" i="2" s="1"/>
  <c r="AN84" i="2"/>
  <c r="AM84" i="2"/>
  <c r="AE84" i="2"/>
  <c r="AB84" i="2"/>
  <c r="X84" i="2"/>
  <c r="AA84" i="2" s="1"/>
  <c r="P84" i="2"/>
  <c r="R84" i="2" s="1"/>
  <c r="H84" i="2"/>
  <c r="CR83" i="2"/>
  <c r="CI83" i="2"/>
  <c r="CG83" i="2"/>
  <c r="CF83" i="2"/>
  <c r="CE83" i="2"/>
  <c r="CD83" i="2"/>
  <c r="CC83" i="2"/>
  <c r="BI83" i="2"/>
  <c r="CM83" i="2" s="1"/>
  <c r="BH83" i="2"/>
  <c r="BG83" i="2"/>
  <c r="CK83" i="2" s="1"/>
  <c r="BE83" i="2"/>
  <c r="CP83" i="2" s="1"/>
  <c r="BD83" i="2"/>
  <c r="AX83" i="2"/>
  <c r="BF83" i="2" s="1"/>
  <c r="AN83" i="2"/>
  <c r="R83" i="2"/>
  <c r="P83" i="2"/>
  <c r="CT82" i="2"/>
  <c r="CG82" i="2"/>
  <c r="CF82" i="2"/>
  <c r="CE82" i="2"/>
  <c r="CD82" i="2"/>
  <c r="CC82" i="2"/>
  <c r="BI82" i="2"/>
  <c r="CM82" i="2" s="1"/>
  <c r="BH82" i="2"/>
  <c r="CL82" i="2" s="1"/>
  <c r="BD82" i="2"/>
  <c r="AX82" i="2"/>
  <c r="BF82" i="2" s="1"/>
  <c r="AR82" i="2"/>
  <c r="AQ82" i="2"/>
  <c r="BE82" i="2" s="1"/>
  <c r="AN82" i="2"/>
  <c r="AM82" i="2"/>
  <c r="AE82" i="2"/>
  <c r="AB82" i="2"/>
  <c r="BG82" i="2" s="1"/>
  <c r="CR82" i="2" s="1"/>
  <c r="AA82" i="2"/>
  <c r="R82" i="2"/>
  <c r="P82" i="2"/>
  <c r="H82" i="2"/>
  <c r="G82" i="2"/>
  <c r="CM81" i="2"/>
  <c r="CG81" i="2"/>
  <c r="CF81" i="2"/>
  <c r="CE81" i="2"/>
  <c r="CD81" i="2"/>
  <c r="CC81" i="2"/>
  <c r="BI81" i="2"/>
  <c r="CT81" i="2" s="1"/>
  <c r="BH81" i="2"/>
  <c r="BD81" i="2"/>
  <c r="AX81" i="2"/>
  <c r="BF81" i="2" s="1"/>
  <c r="AA81" i="2"/>
  <c r="AB81" i="2" s="1"/>
  <c r="BG81" i="2" s="1"/>
  <c r="P81" i="2"/>
  <c r="R81" i="2" s="1"/>
  <c r="H81" i="2"/>
  <c r="G81" i="2"/>
  <c r="CG80" i="2"/>
  <c r="CM80" i="2" s="1"/>
  <c r="CF80" i="2"/>
  <c r="CE80" i="2"/>
  <c r="CD80" i="2"/>
  <c r="CC80" i="2"/>
  <c r="BI80" i="2"/>
  <c r="BH80" i="2"/>
  <c r="CL80" i="2" s="1"/>
  <c r="BD80" i="2"/>
  <c r="BA80" i="2"/>
  <c r="AX80" i="2"/>
  <c r="BF80" i="2" s="1"/>
  <c r="AR80" i="2"/>
  <c r="AQ80" i="2"/>
  <c r="BE80" i="2" s="1"/>
  <c r="AN80" i="2"/>
  <c r="AM80" i="2"/>
  <c r="AE80" i="2"/>
  <c r="AB80" i="2"/>
  <c r="BG80" i="2" s="1"/>
  <c r="P80" i="2"/>
  <c r="CI79" i="2"/>
  <c r="CG79" i="2"/>
  <c r="CF79" i="2"/>
  <c r="CE79" i="2"/>
  <c r="CD79" i="2"/>
  <c r="CC79" i="2"/>
  <c r="BI79" i="2"/>
  <c r="CT79" i="2" s="1"/>
  <c r="BH79" i="2"/>
  <c r="BG79" i="2"/>
  <c r="CK79" i="2" s="1"/>
  <c r="BE79" i="2"/>
  <c r="CP79" i="2" s="1"/>
  <c r="BD79" i="2"/>
  <c r="AX79" i="2"/>
  <c r="BF79" i="2" s="1"/>
  <c r="AN79" i="2"/>
  <c r="AM79" i="2"/>
  <c r="AE79" i="2"/>
  <c r="AB79" i="2"/>
  <c r="AA79" i="2"/>
  <c r="R79" i="2"/>
  <c r="P79" i="2"/>
  <c r="H79" i="2"/>
  <c r="G79" i="2"/>
  <c r="CT78" i="2"/>
  <c r="CP78" i="2"/>
  <c r="CG78" i="2"/>
  <c r="CF78" i="2"/>
  <c r="CL78" i="2" s="1"/>
  <c r="CE78" i="2"/>
  <c r="CD78" i="2"/>
  <c r="CC78" i="2"/>
  <c r="BI78" i="2"/>
  <c r="CM78" i="2" s="1"/>
  <c r="BH78" i="2"/>
  <c r="CS78" i="2" s="1"/>
  <c r="BE78" i="2"/>
  <c r="CI78" i="2" s="1"/>
  <c r="BD78" i="2"/>
  <c r="AX78" i="2"/>
  <c r="BF78" i="2" s="1"/>
  <c r="AN78" i="2"/>
  <c r="AM78" i="2"/>
  <c r="AE78" i="2"/>
  <c r="AB78" i="2"/>
  <c r="BG78" i="2" s="1"/>
  <c r="AA78" i="2"/>
  <c r="R78" i="2"/>
  <c r="P78" i="2"/>
  <c r="CG77" i="2"/>
  <c r="CF77" i="2"/>
  <c r="CL77" i="2" s="1"/>
  <c r="CE77" i="2"/>
  <c r="CD77" i="2"/>
  <c r="CC77" i="2"/>
  <c r="BI77" i="2"/>
  <c r="CT77" i="2" s="1"/>
  <c r="BH77" i="2"/>
  <c r="BD77" i="2"/>
  <c r="AX77" i="2"/>
  <c r="BF77" i="2" s="1"/>
  <c r="AN77" i="2"/>
  <c r="AM77" i="2"/>
  <c r="AE77" i="2"/>
  <c r="X77" i="2"/>
  <c r="Q77" i="2"/>
  <c r="O77" i="2"/>
  <c r="N77" i="2"/>
  <c r="L77" i="2"/>
  <c r="P77" i="2" s="1"/>
  <c r="K77" i="2"/>
  <c r="H77" i="2"/>
  <c r="G77" i="2"/>
  <c r="CM76" i="2"/>
  <c r="CI76" i="2"/>
  <c r="CG76" i="2"/>
  <c r="CF76" i="2"/>
  <c r="CL76" i="2" s="1"/>
  <c r="CE76" i="2"/>
  <c r="CD76" i="2"/>
  <c r="CC76" i="2"/>
  <c r="BI76" i="2"/>
  <c r="CT76" i="2" s="1"/>
  <c r="BH76" i="2"/>
  <c r="BG76" i="2"/>
  <c r="BE76" i="2"/>
  <c r="CP76" i="2" s="1"/>
  <c r="BD76" i="2"/>
  <c r="AX76" i="2"/>
  <c r="BF76" i="2" s="1"/>
  <c r="AN76" i="2"/>
  <c r="AM76" i="2"/>
  <c r="AE76" i="2"/>
  <c r="AB76" i="2"/>
  <c r="AA76" i="2"/>
  <c r="R76" i="2"/>
  <c r="P76" i="2"/>
  <c r="H76" i="2"/>
  <c r="G76" i="2"/>
  <c r="CT75" i="2"/>
  <c r="CG75" i="2"/>
  <c r="CF75" i="2"/>
  <c r="CE75" i="2"/>
  <c r="CD75" i="2"/>
  <c r="CC75" i="2"/>
  <c r="BI75" i="2"/>
  <c r="CM75" i="2" s="1"/>
  <c r="BH75" i="2"/>
  <c r="CL75" i="2" s="1"/>
  <c r="BE75" i="2"/>
  <c r="CI75" i="2" s="1"/>
  <c r="BD75" i="2"/>
  <c r="AX75" i="2"/>
  <c r="BF75" i="2" s="1"/>
  <c r="AA75" i="2"/>
  <c r="X75" i="2"/>
  <c r="AB75" i="2" s="1"/>
  <c r="BG75" i="2" s="1"/>
  <c r="CR75" i="2" s="1"/>
  <c r="R75" i="2"/>
  <c r="P75" i="2"/>
  <c r="H75" i="2"/>
  <c r="G75" i="2"/>
  <c r="CT74" i="2"/>
  <c r="CP74" i="2"/>
  <c r="CG74" i="2"/>
  <c r="CF74" i="2"/>
  <c r="CE74" i="2"/>
  <c r="CD74" i="2"/>
  <c r="CC74" i="2"/>
  <c r="BI74" i="2"/>
  <c r="CM74" i="2" s="1"/>
  <c r="BH74" i="2"/>
  <c r="CL74" i="2" s="1"/>
  <c r="BE74" i="2"/>
  <c r="CI74" i="2" s="1"/>
  <c r="BB74" i="2"/>
  <c r="BA74" i="2"/>
  <c r="AZ74" i="2"/>
  <c r="AY74" i="2"/>
  <c r="BD74" i="2" s="1"/>
  <c r="AX74" i="2"/>
  <c r="BF74" i="2" s="1"/>
  <c r="AV74" i="2"/>
  <c r="AU74" i="2"/>
  <c r="AN74" i="2"/>
  <c r="AM74" i="2"/>
  <c r="AE74" i="2"/>
  <c r="AB74" i="2"/>
  <c r="BG74" i="2" s="1"/>
  <c r="CR74" i="2" s="1"/>
  <c r="AA74" i="2"/>
  <c r="R74" i="2"/>
  <c r="P74" i="2"/>
  <c r="H74" i="2"/>
  <c r="G74" i="2"/>
  <c r="CT73" i="2"/>
  <c r="CP73" i="2"/>
  <c r="CK73" i="2"/>
  <c r="CG73" i="2"/>
  <c r="CF73" i="2"/>
  <c r="CE73" i="2"/>
  <c r="CD73" i="2"/>
  <c r="CC73" i="2"/>
  <c r="BI73" i="2"/>
  <c r="CM73" i="2" s="1"/>
  <c r="BH73" i="2"/>
  <c r="CL73" i="2" s="1"/>
  <c r="BE73" i="2"/>
  <c r="CI73" i="2" s="1"/>
  <c r="BD73" i="2"/>
  <c r="AX73" i="2"/>
  <c r="BF73" i="2" s="1"/>
  <c r="AB73" i="2"/>
  <c r="AA73" i="2"/>
  <c r="X73" i="2"/>
  <c r="P73" i="2"/>
  <c r="BG73" i="2" s="1"/>
  <c r="CR73" i="2" s="1"/>
  <c r="H73" i="2"/>
  <c r="G73" i="2"/>
  <c r="CG72" i="2"/>
  <c r="CM72" i="2" s="1"/>
  <c r="CF72" i="2"/>
  <c r="CE72" i="2"/>
  <c r="CD72" i="2"/>
  <c r="CC72" i="2"/>
  <c r="BI72" i="2"/>
  <c r="CT72" i="2" s="1"/>
  <c r="BH72" i="2"/>
  <c r="CS72" i="2" s="1"/>
  <c r="BF72" i="2"/>
  <c r="CQ72" i="2" s="1"/>
  <c r="BD72" i="2"/>
  <c r="AX72" i="2"/>
  <c r="AN72" i="2"/>
  <c r="AE72" i="2"/>
  <c r="AB72" i="2"/>
  <c r="AA72" i="2"/>
  <c r="P72" i="2"/>
  <c r="BE72" i="2" s="1"/>
  <c r="H72" i="2"/>
  <c r="G72" i="2"/>
  <c r="CS71" i="2"/>
  <c r="CG71" i="2"/>
  <c r="CM71" i="2" s="1"/>
  <c r="CF71" i="2"/>
  <c r="CE71" i="2"/>
  <c r="CD71" i="2"/>
  <c r="CC71" i="2"/>
  <c r="BI71" i="2"/>
  <c r="BH71" i="2"/>
  <c r="CL71" i="2" s="1"/>
  <c r="BF71" i="2"/>
  <c r="CQ71" i="2" s="1"/>
  <c r="BD71" i="2"/>
  <c r="AX71" i="2"/>
  <c r="AB71" i="2"/>
  <c r="AA71" i="2"/>
  <c r="P71" i="2"/>
  <c r="BE71" i="2" s="1"/>
  <c r="CS70" i="2"/>
  <c r="CG70" i="2"/>
  <c r="CF70" i="2"/>
  <c r="CE70" i="2"/>
  <c r="CD70" i="2"/>
  <c r="CC70" i="2"/>
  <c r="BI70" i="2"/>
  <c r="CT70" i="2" s="1"/>
  <c r="BH70" i="2"/>
  <c r="CL70" i="2" s="1"/>
  <c r="BF70" i="2"/>
  <c r="CQ70" i="2" s="1"/>
  <c r="BD70" i="2"/>
  <c r="BA70" i="2"/>
  <c r="AZ70" i="2"/>
  <c r="AX70" i="2"/>
  <c r="X70" i="2"/>
  <c r="AA70" i="2" s="1"/>
  <c r="P70" i="2"/>
  <c r="CL69" i="2"/>
  <c r="CG69" i="2"/>
  <c r="CF69" i="2"/>
  <c r="CE69" i="2"/>
  <c r="CD69" i="2"/>
  <c r="CC69" i="2"/>
  <c r="BI69" i="2"/>
  <c r="BH69" i="2"/>
  <c r="CS69" i="2" s="1"/>
  <c r="BF69" i="2"/>
  <c r="CQ69" i="2" s="1"/>
  <c r="BD69" i="2"/>
  <c r="AX69" i="2"/>
  <c r="AR69" i="2"/>
  <c r="AQ69" i="2"/>
  <c r="BE69" i="2" s="1"/>
  <c r="AM69" i="2"/>
  <c r="AE69" i="2"/>
  <c r="AB69" i="2"/>
  <c r="BG69" i="2" s="1"/>
  <c r="Y69" i="2"/>
  <c r="AA69" i="2" s="1"/>
  <c r="X69" i="2"/>
  <c r="P69" i="2"/>
  <c r="I69" i="2"/>
  <c r="G69" i="2" s="1"/>
  <c r="H69" i="2"/>
  <c r="CP68" i="2"/>
  <c r="CG68" i="2"/>
  <c r="CF68" i="2"/>
  <c r="CE68" i="2"/>
  <c r="CD68" i="2"/>
  <c r="CC68" i="2"/>
  <c r="BI68" i="2"/>
  <c r="BH68" i="2"/>
  <c r="BE68" i="2"/>
  <c r="CI68" i="2" s="1"/>
  <c r="BD68" i="2"/>
  <c r="AX68" i="2"/>
  <c r="BF68" i="2" s="1"/>
  <c r="AM68" i="2"/>
  <c r="AE68" i="2"/>
  <c r="AA68" i="2"/>
  <c r="AB68" i="2" s="1"/>
  <c r="BG68" i="2" s="1"/>
  <c r="P68" i="2"/>
  <c r="H68" i="2"/>
  <c r="CS67" i="2"/>
  <c r="CG67" i="2"/>
  <c r="CF67" i="2"/>
  <c r="CE67" i="2"/>
  <c r="CD67" i="2"/>
  <c r="CC67" i="2"/>
  <c r="BI67" i="2"/>
  <c r="BH67" i="2"/>
  <c r="CL67" i="2" s="1"/>
  <c r="BF67" i="2"/>
  <c r="CQ67" i="2" s="1"/>
  <c r="BD67" i="2"/>
  <c r="AZ67" i="2"/>
  <c r="AX67" i="2"/>
  <c r="AM67" i="2"/>
  <c r="AE67" i="2"/>
  <c r="AA67" i="2"/>
  <c r="Y67" i="2"/>
  <c r="AB67" i="2" s="1"/>
  <c r="P67" i="2"/>
  <c r="BE67" i="2" s="1"/>
  <c r="H67" i="2"/>
  <c r="G67" i="2"/>
  <c r="CS66" i="2"/>
  <c r="CG66" i="2"/>
  <c r="CF66" i="2"/>
  <c r="CE66" i="2"/>
  <c r="CD66" i="2"/>
  <c r="CC66" i="2"/>
  <c r="BI66" i="2"/>
  <c r="BH66" i="2"/>
  <c r="CL66" i="2" s="1"/>
  <c r="BF66" i="2"/>
  <c r="CQ66" i="2" s="1"/>
  <c r="BD66" i="2"/>
  <c r="AX66" i="2"/>
  <c r="AR66" i="2"/>
  <c r="AQ66" i="2"/>
  <c r="BE66" i="2" s="1"/>
  <c r="AB66" i="2"/>
  <c r="BG66" i="2" s="1"/>
  <c r="AA66" i="2"/>
  <c r="P66" i="2"/>
  <c r="H66" i="2"/>
  <c r="G66" i="2"/>
  <c r="CS65" i="2"/>
  <c r="CQ65" i="2"/>
  <c r="CG65" i="2"/>
  <c r="CF65" i="2"/>
  <c r="CE65" i="2"/>
  <c r="CD65" i="2"/>
  <c r="CC65" i="2"/>
  <c r="BI65" i="2"/>
  <c r="BH65" i="2"/>
  <c r="CL65" i="2" s="1"/>
  <c r="BF65" i="2"/>
  <c r="CJ65" i="2" s="1"/>
  <c r="BD65" i="2"/>
  <c r="AX65" i="2"/>
  <c r="AR65" i="2"/>
  <c r="AQ65" i="2"/>
  <c r="AM65" i="2"/>
  <c r="AE65" i="2"/>
  <c r="AB65" i="2"/>
  <c r="AA65" i="2"/>
  <c r="R65" i="2"/>
  <c r="Q65" i="2"/>
  <c r="O65" i="2"/>
  <c r="N65" i="2"/>
  <c r="P65" i="2" s="1"/>
  <c r="L65" i="2"/>
  <c r="K65" i="2"/>
  <c r="J65" i="2"/>
  <c r="I65" i="2"/>
  <c r="G65" i="2" s="1"/>
  <c r="H65" i="2"/>
  <c r="CS64" i="2"/>
  <c r="CG64" i="2"/>
  <c r="CM64" i="2" s="1"/>
  <c r="CF64" i="2"/>
  <c r="CE64" i="2"/>
  <c r="CD64" i="2"/>
  <c r="CC64" i="2"/>
  <c r="BI64" i="2"/>
  <c r="BH64" i="2"/>
  <c r="CL64" i="2" s="1"/>
  <c r="BF64" i="2"/>
  <c r="CQ64" i="2" s="1"/>
  <c r="BD64" i="2"/>
  <c r="AX64" i="2"/>
  <c r="AR64" i="2"/>
  <c r="AQ64" i="2"/>
  <c r="BE64" i="2" s="1"/>
  <c r="AM64" i="2"/>
  <c r="AE64" i="2"/>
  <c r="AB64" i="2"/>
  <c r="BG64" i="2" s="1"/>
  <c r="AA64" i="2"/>
  <c r="P64" i="2"/>
  <c r="G64" i="2"/>
  <c r="CT63" i="2"/>
  <c r="CK63" i="2"/>
  <c r="CI63" i="2"/>
  <c r="CG63" i="2"/>
  <c r="CF63" i="2"/>
  <c r="CE63" i="2"/>
  <c r="CD63" i="2"/>
  <c r="CC63" i="2"/>
  <c r="BI63" i="2"/>
  <c r="CM63" i="2" s="1"/>
  <c r="BH63" i="2"/>
  <c r="CL63" i="2" s="1"/>
  <c r="BE63" i="2"/>
  <c r="CP63" i="2" s="1"/>
  <c r="BD63" i="2"/>
  <c r="AX63" i="2"/>
  <c r="BF63" i="2" s="1"/>
  <c r="AM63" i="2"/>
  <c r="AE63" i="2"/>
  <c r="AA63" i="2"/>
  <c r="AB63" i="2" s="1"/>
  <c r="BG63" i="2" s="1"/>
  <c r="CR63" i="2" s="1"/>
  <c r="P63" i="2"/>
  <c r="H63" i="2"/>
  <c r="G63" i="2"/>
  <c r="CT62" i="2"/>
  <c r="CG62" i="2"/>
  <c r="CF62" i="2"/>
  <c r="CE62" i="2"/>
  <c r="CD62" i="2"/>
  <c r="CC62" i="2"/>
  <c r="BI62" i="2"/>
  <c r="CM62" i="2" s="1"/>
  <c r="BH62" i="2"/>
  <c r="CL62" i="2" s="1"/>
  <c r="BD62" i="2"/>
  <c r="AX62" i="2"/>
  <c r="BF62" i="2" s="1"/>
  <c r="AM62" i="2"/>
  <c r="AE62" i="2"/>
  <c r="AA62" i="2"/>
  <c r="AB62" i="2" s="1"/>
  <c r="BG62" i="2" s="1"/>
  <c r="CR62" i="2" s="1"/>
  <c r="X62" i="2"/>
  <c r="P62" i="2"/>
  <c r="BE62" i="2" s="1"/>
  <c r="H62" i="2"/>
  <c r="G62" i="2"/>
  <c r="CG61" i="2"/>
  <c r="CF61" i="2"/>
  <c r="CE61" i="2"/>
  <c r="CD61" i="2"/>
  <c r="CC61" i="2"/>
  <c r="BI61" i="2"/>
  <c r="CM61" i="2" s="1"/>
  <c r="BH61" i="2"/>
  <c r="CS61" i="2" s="1"/>
  <c r="BF61" i="2"/>
  <c r="CQ61" i="2" s="1"/>
  <c r="BD61" i="2"/>
  <c r="AX61" i="2"/>
  <c r="AM61" i="2"/>
  <c r="AE61" i="2"/>
  <c r="AB61" i="2"/>
  <c r="AA61" i="2"/>
  <c r="P61" i="2"/>
  <c r="BE61" i="2" s="1"/>
  <c r="H61" i="2"/>
  <c r="G61" i="2"/>
  <c r="CS60" i="2"/>
  <c r="CG60" i="2"/>
  <c r="CF60" i="2"/>
  <c r="CE60" i="2"/>
  <c r="CD60" i="2"/>
  <c r="CC60" i="2"/>
  <c r="BI60" i="2"/>
  <c r="BH60" i="2"/>
  <c r="CL60" i="2" s="1"/>
  <c r="BF60" i="2"/>
  <c r="CQ60" i="2" s="1"/>
  <c r="BD60" i="2"/>
  <c r="AX60" i="2"/>
  <c r="AB60" i="2"/>
  <c r="BG60" i="2" s="1"/>
  <c r="AA60" i="2"/>
  <c r="P60" i="2"/>
  <c r="BE60" i="2" s="1"/>
  <c r="H60" i="2"/>
  <c r="G60" i="2"/>
  <c r="CG59" i="2"/>
  <c r="CM59" i="2" s="1"/>
  <c r="CF59" i="2"/>
  <c r="CE59" i="2"/>
  <c r="CD59" i="2"/>
  <c r="CC59" i="2"/>
  <c r="BI59" i="2"/>
  <c r="CT59" i="2" s="1"/>
  <c r="BH59" i="2"/>
  <c r="CS59" i="2" s="1"/>
  <c r="BF59" i="2"/>
  <c r="CQ59" i="2" s="1"/>
  <c r="BD59" i="2"/>
  <c r="AX59" i="2"/>
  <c r="AN59" i="2"/>
  <c r="AM59" i="2"/>
  <c r="AE59" i="2"/>
  <c r="AA59" i="2"/>
  <c r="AB59" i="2" s="1"/>
  <c r="BG59" i="2" s="1"/>
  <c r="P59" i="2"/>
  <c r="BE59" i="2" s="1"/>
  <c r="CG58" i="2"/>
  <c r="CF58" i="2"/>
  <c r="CL58" i="2" s="1"/>
  <c r="CE58" i="2"/>
  <c r="CD58" i="2"/>
  <c r="CC58" i="2"/>
  <c r="BI58" i="2"/>
  <c r="CT58" i="2" s="1"/>
  <c r="BH58" i="2"/>
  <c r="BE58" i="2"/>
  <c r="CI58" i="2" s="1"/>
  <c r="BD58" i="2"/>
  <c r="AX58" i="2"/>
  <c r="BF58" i="2" s="1"/>
  <c r="AA58" i="2"/>
  <c r="AB58" i="2" s="1"/>
  <c r="BG58" i="2" s="1"/>
  <c r="P58" i="2"/>
  <c r="H58" i="2"/>
  <c r="G58" i="2"/>
  <c r="CT57" i="2"/>
  <c r="CG57" i="2"/>
  <c r="CF57" i="2"/>
  <c r="CE57" i="2"/>
  <c r="CD57" i="2"/>
  <c r="CC57" i="2"/>
  <c r="BI57" i="2"/>
  <c r="CM57" i="2" s="1"/>
  <c r="BH57" i="2"/>
  <c r="CL57" i="2" s="1"/>
  <c r="BD57" i="2"/>
  <c r="AX57" i="2"/>
  <c r="BF57" i="2" s="1"/>
  <c r="AM57" i="2"/>
  <c r="AE57" i="2"/>
  <c r="AA57" i="2"/>
  <c r="AB57" i="2" s="1"/>
  <c r="BG57" i="2" s="1"/>
  <c r="CR57" i="2" s="1"/>
  <c r="X57" i="2"/>
  <c r="P57" i="2"/>
  <c r="BE57" i="2" s="1"/>
  <c r="H57" i="2"/>
  <c r="G57" i="2"/>
  <c r="CL56" i="2"/>
  <c r="CG56" i="2"/>
  <c r="CF56" i="2"/>
  <c r="CE56" i="2"/>
  <c r="CD56" i="2"/>
  <c r="CC56" i="2"/>
  <c r="BI56" i="2"/>
  <c r="CM56" i="2" s="1"/>
  <c r="BH56" i="2"/>
  <c r="CS56" i="2" s="1"/>
  <c r="BF56" i="2"/>
  <c r="CQ56" i="2" s="1"/>
  <c r="BD56" i="2"/>
  <c r="AX56" i="2"/>
  <c r="AR56" i="2"/>
  <c r="AQ56" i="2"/>
  <c r="BE56" i="2" s="1"/>
  <c r="AL56" i="2"/>
  <c r="AK56" i="2"/>
  <c r="AI56" i="2"/>
  <c r="AH56" i="2"/>
  <c r="AG56" i="2"/>
  <c r="AE56" i="2"/>
  <c r="AC56" i="2"/>
  <c r="AA56" i="2"/>
  <c r="AB56" i="2" s="1"/>
  <c r="BG56" i="2" s="1"/>
  <c r="V56" i="2"/>
  <c r="R56" i="2"/>
  <c r="P56" i="2"/>
  <c r="H56" i="2"/>
  <c r="G56" i="2"/>
  <c r="CG55" i="2"/>
  <c r="CF55" i="2"/>
  <c r="CS55" i="2" s="1"/>
  <c r="CE55" i="2"/>
  <c r="CD55" i="2"/>
  <c r="CC55" i="2"/>
  <c r="BI55" i="2"/>
  <c r="BH55" i="2"/>
  <c r="BD55" i="2"/>
  <c r="AX55" i="2"/>
  <c r="BF55" i="2" s="1"/>
  <c r="CQ55" i="2" s="1"/>
  <c r="AR55" i="2"/>
  <c r="AQ55" i="2"/>
  <c r="BE55" i="2" s="1"/>
  <c r="AM55" i="2"/>
  <c r="AE55" i="2"/>
  <c r="AA55" i="2"/>
  <c r="AB55" i="2" s="1"/>
  <c r="BG55" i="2" s="1"/>
  <c r="CK55" i="2" s="1"/>
  <c r="P55" i="2"/>
  <c r="H55" i="2"/>
  <c r="G55" i="2"/>
  <c r="CT54" i="2"/>
  <c r="CM54" i="2"/>
  <c r="CG54" i="2"/>
  <c r="CF54" i="2"/>
  <c r="CL54" i="2" s="1"/>
  <c r="CE54" i="2"/>
  <c r="CD54" i="2"/>
  <c r="CC54" i="2"/>
  <c r="BI54" i="2"/>
  <c r="BH54" i="2"/>
  <c r="BF54" i="2"/>
  <c r="BD54" i="2"/>
  <c r="AX54" i="2"/>
  <c r="AR54" i="2"/>
  <c r="AQ54" i="2"/>
  <c r="BE54" i="2" s="1"/>
  <c r="AN54" i="2"/>
  <c r="AM54" i="2"/>
  <c r="AE54" i="2"/>
  <c r="AB54" i="2"/>
  <c r="AA54" i="2"/>
  <c r="P54" i="2"/>
  <c r="BG54" i="2" s="1"/>
  <c r="H54" i="2"/>
  <c r="G54" i="2"/>
  <c r="CL53" i="2"/>
  <c r="CG53" i="2"/>
  <c r="CF53" i="2"/>
  <c r="CS53" i="2" s="1"/>
  <c r="CE53" i="2"/>
  <c r="CD53" i="2"/>
  <c r="CC53" i="2"/>
  <c r="BI53" i="2"/>
  <c r="BH53" i="2"/>
  <c r="BE53" i="2"/>
  <c r="CI53" i="2" s="1"/>
  <c r="BB53" i="2"/>
  <c r="BA53" i="2"/>
  <c r="AZ53" i="2"/>
  <c r="AY53" i="2"/>
  <c r="BD53" i="2" s="1"/>
  <c r="AV53" i="2"/>
  <c r="AU53" i="2"/>
  <c r="AN53" i="2"/>
  <c r="AM53" i="2"/>
  <c r="AE53" i="2"/>
  <c r="AA53" i="2"/>
  <c r="AB53" i="2" s="1"/>
  <c r="BG53" i="2" s="1"/>
  <c r="X53" i="2"/>
  <c r="P53" i="2"/>
  <c r="H53" i="2"/>
  <c r="G53" i="2"/>
  <c r="CG52" i="2"/>
  <c r="CT52" i="2" s="1"/>
  <c r="CF52" i="2"/>
  <c r="CE52" i="2"/>
  <c r="CD52" i="2"/>
  <c r="CC52" i="2"/>
  <c r="BI52" i="2"/>
  <c r="BH52" i="2"/>
  <c r="CS52" i="2" s="1"/>
  <c r="BF52" i="2"/>
  <c r="CQ52" i="2" s="1"/>
  <c r="BD52" i="2"/>
  <c r="AX52" i="2"/>
  <c r="AR52" i="2"/>
  <c r="AQ52" i="2"/>
  <c r="AN52" i="2"/>
  <c r="AM52" i="2"/>
  <c r="AE52" i="2"/>
  <c r="AB52" i="2"/>
  <c r="AA52" i="2"/>
  <c r="Y52" i="2"/>
  <c r="P52" i="2"/>
  <c r="H52" i="2"/>
  <c r="CT51" i="2"/>
  <c r="CS51" i="2"/>
  <c r="CM51" i="2"/>
  <c r="CG51" i="2"/>
  <c r="CF51" i="2"/>
  <c r="CE51" i="2"/>
  <c r="CD51" i="2"/>
  <c r="CC51" i="2"/>
  <c r="BI51" i="2"/>
  <c r="BH51" i="2"/>
  <c r="BD51" i="2"/>
  <c r="AX51" i="2"/>
  <c r="BF51" i="2" s="1"/>
  <c r="AN51" i="2"/>
  <c r="AM51" i="2"/>
  <c r="AE51" i="2"/>
  <c r="AB51" i="2"/>
  <c r="AA51" i="2"/>
  <c r="P51" i="2"/>
  <c r="BG51" i="2" s="1"/>
  <c r="H51" i="2"/>
  <c r="G51" i="2"/>
  <c r="CP50" i="2"/>
  <c r="CG50" i="2"/>
  <c r="CF50" i="2"/>
  <c r="CL50" i="2" s="1"/>
  <c r="CE50" i="2"/>
  <c r="CD50" i="2"/>
  <c r="CC50" i="2"/>
  <c r="BI50" i="2"/>
  <c r="CM50" i="2" s="1"/>
  <c r="BH50" i="2"/>
  <c r="CS50" i="2" s="1"/>
  <c r="BE50" i="2"/>
  <c r="CI50" i="2" s="1"/>
  <c r="BA50" i="2"/>
  <c r="AY50" i="2"/>
  <c r="BD50" i="2" s="1"/>
  <c r="AX50" i="2"/>
  <c r="BF50" i="2" s="1"/>
  <c r="AN50" i="2"/>
  <c r="AM50" i="2"/>
  <c r="AE50" i="2"/>
  <c r="AB50" i="2"/>
  <c r="BG50" i="2" s="1"/>
  <c r="CR50" i="2" s="1"/>
  <c r="AA50" i="2"/>
  <c r="P50" i="2"/>
  <c r="H50" i="2"/>
  <c r="G50" i="2"/>
  <c r="CS49" i="2"/>
  <c r="CG49" i="2"/>
  <c r="CF49" i="2"/>
  <c r="CE49" i="2"/>
  <c r="CD49" i="2"/>
  <c r="CC49" i="2"/>
  <c r="BI49" i="2"/>
  <c r="CT49" i="2" s="1"/>
  <c r="BH49" i="2"/>
  <c r="CL49" i="2" s="1"/>
  <c r="BD49" i="2"/>
  <c r="AX49" i="2"/>
  <c r="BF49" i="2" s="1"/>
  <c r="CQ49" i="2" s="1"/>
  <c r="AN49" i="2"/>
  <c r="AM49" i="2"/>
  <c r="AE49" i="2"/>
  <c r="AB49" i="2"/>
  <c r="BG49" i="2" s="1"/>
  <c r="AA49" i="2"/>
  <c r="P49" i="2"/>
  <c r="BE49" i="2" s="1"/>
  <c r="H49" i="2"/>
  <c r="G49" i="2"/>
  <c r="CG48" i="2"/>
  <c r="CF48" i="2"/>
  <c r="CL48" i="2" s="1"/>
  <c r="CE48" i="2"/>
  <c r="CD48" i="2"/>
  <c r="CC48" i="2"/>
  <c r="BI48" i="2"/>
  <c r="CM48" i="2" s="1"/>
  <c r="BH48" i="2"/>
  <c r="BF48" i="2"/>
  <c r="CQ48" i="2" s="1"/>
  <c r="BE48" i="2"/>
  <c r="CI48" i="2" s="1"/>
  <c r="BD48" i="2"/>
  <c r="AX48" i="2"/>
  <c r="AN48" i="2"/>
  <c r="AM48" i="2"/>
  <c r="AL48" i="2"/>
  <c r="AI48" i="2"/>
  <c r="AH48" i="2"/>
  <c r="AG48" i="2"/>
  <c r="AE48" i="2"/>
  <c r="AC48" i="2"/>
  <c r="AA48" i="2"/>
  <c r="AB48" i="2" s="1"/>
  <c r="BG48" i="2" s="1"/>
  <c r="CR48" i="2" s="1"/>
  <c r="R48" i="2"/>
  <c r="P48" i="2"/>
  <c r="CL47" i="2"/>
  <c r="CG47" i="2"/>
  <c r="CM47" i="2" s="1"/>
  <c r="CF47" i="2"/>
  <c r="CE47" i="2"/>
  <c r="CD47" i="2"/>
  <c r="CC47" i="2"/>
  <c r="BI47" i="2"/>
  <c r="BH47" i="2"/>
  <c r="CS47" i="2" s="1"/>
  <c r="BF47" i="2"/>
  <c r="CJ47" i="2" s="1"/>
  <c r="BD47" i="2"/>
  <c r="AX47" i="2"/>
  <c r="AN47" i="2"/>
  <c r="AM47" i="2"/>
  <c r="AE47" i="2"/>
  <c r="AA47" i="2"/>
  <c r="AB47" i="2" s="1"/>
  <c r="BG47" i="2" s="1"/>
  <c r="P47" i="2"/>
  <c r="BE47" i="2" s="1"/>
  <c r="H47" i="2"/>
  <c r="G47" i="2"/>
  <c r="CM46" i="2"/>
  <c r="CG46" i="2"/>
  <c r="CF46" i="2"/>
  <c r="CE46" i="2"/>
  <c r="CD46" i="2"/>
  <c r="CC46" i="2"/>
  <c r="BI46" i="2"/>
  <c r="CT46" i="2" s="1"/>
  <c r="BH46" i="2"/>
  <c r="CS46" i="2" s="1"/>
  <c r="BD46" i="2"/>
  <c r="AX46" i="2"/>
  <c r="BF46" i="2" s="1"/>
  <c r="AN46" i="2"/>
  <c r="AM46" i="2"/>
  <c r="AE46" i="2"/>
  <c r="AB46" i="2"/>
  <c r="BG46" i="2" s="1"/>
  <c r="AA46" i="2"/>
  <c r="L46" i="2"/>
  <c r="P46" i="2" s="1"/>
  <c r="CJ45" i="2"/>
  <c r="CG45" i="2"/>
  <c r="CF45" i="2"/>
  <c r="CE45" i="2"/>
  <c r="CD45" i="2"/>
  <c r="CC45" i="2"/>
  <c r="BI45" i="2"/>
  <c r="CT45" i="2" s="1"/>
  <c r="BH45" i="2"/>
  <c r="CL45" i="2" s="1"/>
  <c r="BD45" i="2"/>
  <c r="AX45" i="2"/>
  <c r="BF45" i="2" s="1"/>
  <c r="CQ45" i="2" s="1"/>
  <c r="AR45" i="2"/>
  <c r="AQ45" i="2"/>
  <c r="BE45" i="2" s="1"/>
  <c r="AN45" i="2"/>
  <c r="AM45" i="2"/>
  <c r="AE45" i="2"/>
  <c r="AA45" i="2"/>
  <c r="AB45" i="2" s="1"/>
  <c r="BG45" i="2" s="1"/>
  <c r="P45" i="2"/>
  <c r="H45" i="2"/>
  <c r="G45" i="2"/>
  <c r="CM44" i="2"/>
  <c r="CG44" i="2"/>
  <c r="CF44" i="2"/>
  <c r="CE44" i="2"/>
  <c r="CD44" i="2"/>
  <c r="CC44" i="2"/>
  <c r="BI44" i="2"/>
  <c r="CT44" i="2" s="1"/>
  <c r="BH44" i="2"/>
  <c r="CS44" i="2" s="1"/>
  <c r="BD44" i="2"/>
  <c r="AX44" i="2"/>
  <c r="BF44" i="2" s="1"/>
  <c r="AN44" i="2"/>
  <c r="AM44" i="2"/>
  <c r="AE44" i="2"/>
  <c r="AB44" i="2"/>
  <c r="BG44" i="2" s="1"/>
  <c r="AA44" i="2"/>
  <c r="P44" i="2"/>
  <c r="BE44" i="2" s="1"/>
  <c r="CP44" i="2" s="1"/>
  <c r="CQ43" i="2"/>
  <c r="CL43" i="2"/>
  <c r="CG43" i="2"/>
  <c r="CM43" i="2" s="1"/>
  <c r="CF43" i="2"/>
  <c r="CE43" i="2"/>
  <c r="CD43" i="2"/>
  <c r="CC43" i="2"/>
  <c r="BI43" i="2"/>
  <c r="CT43" i="2" s="1"/>
  <c r="BH43" i="2"/>
  <c r="CS43" i="2" s="1"/>
  <c r="BF43" i="2"/>
  <c r="CJ43" i="2" s="1"/>
  <c r="BD43" i="2"/>
  <c r="AX43" i="2"/>
  <c r="AN43" i="2"/>
  <c r="AE43" i="2"/>
  <c r="AA43" i="2"/>
  <c r="AB43" i="2" s="1"/>
  <c r="P43" i="2"/>
  <c r="BE43" i="2" s="1"/>
  <c r="H43" i="2"/>
  <c r="G43" i="2"/>
  <c r="CL42" i="2"/>
  <c r="CG42" i="2"/>
  <c r="CM42" i="2" s="1"/>
  <c r="CF42" i="2"/>
  <c r="CE42" i="2"/>
  <c r="CD42" i="2"/>
  <c r="CC42" i="2"/>
  <c r="BI42" i="2"/>
  <c r="BH42" i="2"/>
  <c r="CS42" i="2" s="1"/>
  <c r="BF42" i="2"/>
  <c r="CJ42" i="2" s="1"/>
  <c r="BD42" i="2"/>
  <c r="AX42" i="2"/>
  <c r="AN42" i="2"/>
  <c r="AE42" i="2"/>
  <c r="X42" i="2"/>
  <c r="P42" i="2"/>
  <c r="BE42" i="2" s="1"/>
  <c r="H42" i="2"/>
  <c r="G42" i="2"/>
  <c r="CM41" i="2"/>
  <c r="CG41" i="2"/>
  <c r="CF41" i="2"/>
  <c r="CE41" i="2"/>
  <c r="CD41" i="2"/>
  <c r="CC41" i="2"/>
  <c r="BI41" i="2"/>
  <c r="CT41" i="2" s="1"/>
  <c r="BH41" i="2"/>
  <c r="CS41" i="2" s="1"/>
  <c r="BG41" i="2"/>
  <c r="CK41" i="2" s="1"/>
  <c r="BD41" i="2"/>
  <c r="AX41" i="2"/>
  <c r="BF41" i="2" s="1"/>
  <c r="AR41" i="2"/>
  <c r="AQ41" i="2"/>
  <c r="BE41" i="2" s="1"/>
  <c r="CP41" i="2" s="1"/>
  <c r="AA41" i="2"/>
  <c r="AB41" i="2" s="1"/>
  <c r="X41" i="2"/>
  <c r="P41" i="2"/>
  <c r="H41" i="2"/>
  <c r="G41" i="2"/>
  <c r="CJ40" i="2"/>
  <c r="CG40" i="2"/>
  <c r="CF40" i="2"/>
  <c r="CE40" i="2"/>
  <c r="CD40" i="2"/>
  <c r="CC40" i="2"/>
  <c r="BI40" i="2"/>
  <c r="CT40" i="2" s="1"/>
  <c r="BH40" i="2"/>
  <c r="CL40" i="2" s="1"/>
  <c r="BD40" i="2"/>
  <c r="AX40" i="2"/>
  <c r="BF40" i="2" s="1"/>
  <c r="CQ40" i="2" s="1"/>
  <c r="AR40" i="2"/>
  <c r="AQ40" i="2"/>
  <c r="BE40" i="2" s="1"/>
  <c r="AN40" i="2"/>
  <c r="AL40" i="2"/>
  <c r="AK40" i="2"/>
  <c r="AM40" i="2" s="1"/>
  <c r="AI40" i="2"/>
  <c r="AH40" i="2"/>
  <c r="AG40" i="2"/>
  <c r="AE40" i="2"/>
  <c r="AB40" i="2"/>
  <c r="BG40" i="2" s="1"/>
  <c r="AA40" i="2"/>
  <c r="P40" i="2"/>
  <c r="H40" i="2"/>
  <c r="G40" i="2"/>
  <c r="CS39" i="2"/>
  <c r="CJ39" i="2"/>
  <c r="CG39" i="2"/>
  <c r="CF39" i="2"/>
  <c r="CE39" i="2"/>
  <c r="CK39" i="2" s="1"/>
  <c r="CD39" i="2"/>
  <c r="CC39" i="2"/>
  <c r="BI39" i="2"/>
  <c r="CT39" i="2" s="1"/>
  <c r="BH39" i="2"/>
  <c r="CL39" i="2" s="1"/>
  <c r="BG39" i="2"/>
  <c r="BF39" i="2"/>
  <c r="CQ39" i="2" s="1"/>
  <c r="BE39" i="2"/>
  <c r="CP39" i="2" s="1"/>
  <c r="AN39" i="2"/>
  <c r="AM39" i="2"/>
  <c r="CK38" i="2"/>
  <c r="CG38" i="2"/>
  <c r="CF38" i="2"/>
  <c r="CL38" i="2" s="1"/>
  <c r="CE38" i="2"/>
  <c r="CD38" i="2"/>
  <c r="CC38" i="2"/>
  <c r="BI38" i="2"/>
  <c r="CM38" i="2" s="1"/>
  <c r="BH38" i="2"/>
  <c r="CS38" i="2" s="1"/>
  <c r="BF38" i="2"/>
  <c r="CQ38" i="2" s="1"/>
  <c r="BD38" i="2"/>
  <c r="AX38" i="2"/>
  <c r="AR38" i="2"/>
  <c r="AQ38" i="2"/>
  <c r="BE38" i="2" s="1"/>
  <c r="AN38" i="2"/>
  <c r="AM38" i="2"/>
  <c r="AE38" i="2"/>
  <c r="AB38" i="2"/>
  <c r="BG38" i="2" s="1"/>
  <c r="CR38" i="2" s="1"/>
  <c r="AA38" i="2"/>
  <c r="P38" i="2"/>
  <c r="H38" i="2"/>
  <c r="G38" i="2"/>
  <c r="CG37" i="2"/>
  <c r="CF37" i="2"/>
  <c r="CE37" i="2"/>
  <c r="CD37" i="2"/>
  <c r="CC37" i="2"/>
  <c r="BI37" i="2"/>
  <c r="CT37" i="2" s="1"/>
  <c r="BH37" i="2"/>
  <c r="CL37" i="2" s="1"/>
  <c r="BE37" i="2"/>
  <c r="CP37" i="2" s="1"/>
  <c r="BD37" i="2"/>
  <c r="AX37" i="2"/>
  <c r="BF37" i="2" s="1"/>
  <c r="CQ37" i="2" s="1"/>
  <c r="AN37" i="2"/>
  <c r="AE37" i="2"/>
  <c r="AB37" i="2"/>
  <c r="BG37" i="2" s="1"/>
  <c r="AA37" i="2"/>
  <c r="P37" i="2"/>
  <c r="H37" i="2"/>
  <c r="G37" i="2"/>
  <c r="CJ36" i="2"/>
  <c r="CG36" i="2"/>
  <c r="CF36" i="2"/>
  <c r="CE36" i="2"/>
  <c r="CD36" i="2"/>
  <c r="CC36" i="2"/>
  <c r="BI36" i="2"/>
  <c r="CT36" i="2" s="1"/>
  <c r="BH36" i="2"/>
  <c r="CL36" i="2" s="1"/>
  <c r="BD36" i="2"/>
  <c r="AX36" i="2"/>
  <c r="BF36" i="2" s="1"/>
  <c r="CQ36" i="2" s="1"/>
  <c r="AA36" i="2"/>
  <c r="AB36" i="2" s="1"/>
  <c r="P36" i="2"/>
  <c r="BE36" i="2" s="1"/>
  <c r="H36" i="2"/>
  <c r="G36" i="2"/>
  <c r="CQ35" i="2"/>
  <c r="CL35" i="2"/>
  <c r="CG35" i="2"/>
  <c r="CM35" i="2" s="1"/>
  <c r="CF35" i="2"/>
  <c r="CE35" i="2"/>
  <c r="CD35" i="2"/>
  <c r="CC35" i="2"/>
  <c r="CI35" i="2" s="1"/>
  <c r="BI35" i="2"/>
  <c r="CT35" i="2" s="1"/>
  <c r="BH35" i="2"/>
  <c r="CS35" i="2" s="1"/>
  <c r="BG35" i="2"/>
  <c r="CR35" i="2" s="1"/>
  <c r="BF35" i="2"/>
  <c r="CJ35" i="2" s="1"/>
  <c r="BE35" i="2"/>
  <c r="CP35" i="2" s="1"/>
  <c r="CU35" i="2" s="1"/>
  <c r="AN35" i="2"/>
  <c r="AM35" i="2"/>
  <c r="CR34" i="2"/>
  <c r="CM34" i="2"/>
  <c r="CI34" i="2"/>
  <c r="CG34" i="2"/>
  <c r="CF34" i="2"/>
  <c r="CE34" i="2"/>
  <c r="CD34" i="2"/>
  <c r="CJ34" i="2" s="1"/>
  <c r="CC34" i="2"/>
  <c r="BI34" i="2"/>
  <c r="CT34" i="2" s="1"/>
  <c r="BH34" i="2"/>
  <c r="CS34" i="2" s="1"/>
  <c r="BG34" i="2"/>
  <c r="CK34" i="2" s="1"/>
  <c r="BF34" i="2"/>
  <c r="BE34" i="2"/>
  <c r="CP34" i="2" s="1"/>
  <c r="AN34" i="2"/>
  <c r="AM34" i="2"/>
  <c r="CJ33" i="2"/>
  <c r="CG33" i="2"/>
  <c r="CF33" i="2"/>
  <c r="CE33" i="2"/>
  <c r="CD33" i="2"/>
  <c r="CC33" i="2"/>
  <c r="BI33" i="2"/>
  <c r="CT33" i="2" s="1"/>
  <c r="BH33" i="2"/>
  <c r="CL33" i="2" s="1"/>
  <c r="BD33" i="2"/>
  <c r="AX33" i="2"/>
  <c r="BF33" i="2" s="1"/>
  <c r="CQ33" i="2" s="1"/>
  <c r="AN33" i="2"/>
  <c r="AM33" i="2"/>
  <c r="AE33" i="2"/>
  <c r="X33" i="2"/>
  <c r="AA33" i="2" s="1"/>
  <c r="P33" i="2"/>
  <c r="BE33" i="2" s="1"/>
  <c r="H33" i="2"/>
  <c r="G33" i="2"/>
  <c r="CL32" i="2"/>
  <c r="CG32" i="2"/>
  <c r="CM32" i="2" s="1"/>
  <c r="CF32" i="2"/>
  <c r="CE32" i="2"/>
  <c r="CD32" i="2"/>
  <c r="CC32" i="2"/>
  <c r="BI32" i="2"/>
  <c r="BH32" i="2"/>
  <c r="CS32" i="2" s="1"/>
  <c r="BF32" i="2"/>
  <c r="CJ32" i="2" s="1"/>
  <c r="BD32" i="2"/>
  <c r="AX32" i="2"/>
  <c r="AR32" i="2"/>
  <c r="AQ32" i="2"/>
  <c r="AL32" i="2"/>
  <c r="AI32" i="2"/>
  <c r="AH32" i="2"/>
  <c r="AG32" i="2"/>
  <c r="AE32" i="2"/>
  <c r="AC32" i="2"/>
  <c r="AA32" i="2"/>
  <c r="AB32" i="2" s="1"/>
  <c r="P32" i="2"/>
  <c r="H32" i="2"/>
  <c r="G32" i="2"/>
  <c r="CL31" i="2"/>
  <c r="CG31" i="2"/>
  <c r="CM31" i="2" s="1"/>
  <c r="CF31" i="2"/>
  <c r="CE31" i="2"/>
  <c r="CD31" i="2"/>
  <c r="CC31" i="2"/>
  <c r="BI31" i="2"/>
  <c r="BH31" i="2"/>
  <c r="CS31" i="2" s="1"/>
  <c r="BF31" i="2"/>
  <c r="CJ31" i="2" s="1"/>
  <c r="BD31" i="2"/>
  <c r="AX31" i="2"/>
  <c r="AR31" i="2"/>
  <c r="AQ31" i="2"/>
  <c r="AL31" i="2"/>
  <c r="AM31" i="2" s="1"/>
  <c r="AK31" i="2"/>
  <c r="AI31" i="2"/>
  <c r="AH31" i="2"/>
  <c r="AG31" i="2"/>
  <c r="AE31" i="2"/>
  <c r="AA31" i="2"/>
  <c r="AB31" i="2" s="1"/>
  <c r="P31" i="2"/>
  <c r="H31" i="2"/>
  <c r="G31" i="2"/>
  <c r="CQ30" i="2"/>
  <c r="CL30" i="2"/>
  <c r="CG30" i="2"/>
  <c r="CM30" i="2" s="1"/>
  <c r="CF30" i="2"/>
  <c r="CE30" i="2"/>
  <c r="CD30" i="2"/>
  <c r="CC30" i="2"/>
  <c r="BI30" i="2"/>
  <c r="CT30" i="2" s="1"/>
  <c r="BH30" i="2"/>
  <c r="CS30" i="2" s="1"/>
  <c r="BF30" i="2"/>
  <c r="CJ30" i="2" s="1"/>
  <c r="BD30" i="2"/>
  <c r="AX30" i="2"/>
  <c r="AR30" i="2"/>
  <c r="AQ30" i="2"/>
  <c r="BE30" i="2" s="1"/>
  <c r="AL30" i="2"/>
  <c r="AM30" i="2" s="1"/>
  <c r="AK30" i="2"/>
  <c r="AN30" i="2" s="1"/>
  <c r="AI30" i="2"/>
  <c r="AH30" i="2"/>
  <c r="AG30" i="2"/>
  <c r="AE30" i="2"/>
  <c r="AC30" i="2"/>
  <c r="AA30" i="2"/>
  <c r="AB30" i="2" s="1"/>
  <c r="BG30" i="2" s="1"/>
  <c r="P30" i="2"/>
  <c r="CP29" i="2"/>
  <c r="CG29" i="2"/>
  <c r="CF29" i="2"/>
  <c r="CL29" i="2" s="1"/>
  <c r="CE29" i="2"/>
  <c r="CD29" i="2"/>
  <c r="CC29" i="2"/>
  <c r="BI29" i="2"/>
  <c r="CM29" i="2" s="1"/>
  <c r="BH29" i="2"/>
  <c r="CS29" i="2" s="1"/>
  <c r="BF29" i="2"/>
  <c r="CQ29" i="2" s="1"/>
  <c r="BE29" i="2"/>
  <c r="CI29" i="2" s="1"/>
  <c r="BD29" i="2"/>
  <c r="AX29" i="2"/>
  <c r="AN29" i="2"/>
  <c r="AE29" i="2"/>
  <c r="AB29" i="2"/>
  <c r="BG29" i="2" s="1"/>
  <c r="CR29" i="2" s="1"/>
  <c r="AA29" i="2"/>
  <c r="P29" i="2"/>
  <c r="H29" i="2"/>
  <c r="G29" i="2"/>
  <c r="CG28" i="2"/>
  <c r="CF28" i="2"/>
  <c r="CL28" i="2" s="1"/>
  <c r="CE28" i="2"/>
  <c r="CD28" i="2"/>
  <c r="CC28" i="2"/>
  <c r="BI28" i="2"/>
  <c r="CM28" i="2" s="1"/>
  <c r="BH28" i="2"/>
  <c r="BF28" i="2"/>
  <c r="CQ28" i="2" s="1"/>
  <c r="BD28" i="2"/>
  <c r="AX28" i="2"/>
  <c r="AR28" i="2"/>
  <c r="AQ28" i="2"/>
  <c r="BE28" i="2" s="1"/>
  <c r="AN28" i="2"/>
  <c r="AM28" i="2"/>
  <c r="AE28" i="2"/>
  <c r="AB28" i="2"/>
  <c r="BG28" i="2" s="1"/>
  <c r="CR28" i="2" s="1"/>
  <c r="AA28" i="2"/>
  <c r="P28" i="2"/>
  <c r="H28" i="2"/>
  <c r="G28" i="2"/>
  <c r="CS27" i="2"/>
  <c r="CG27" i="2"/>
  <c r="CF27" i="2"/>
  <c r="CE27" i="2"/>
  <c r="CD27" i="2"/>
  <c r="CC27" i="2"/>
  <c r="BI27" i="2"/>
  <c r="CT27" i="2" s="1"/>
  <c r="BH27" i="2"/>
  <c r="CL27" i="2" s="1"/>
  <c r="BB27" i="2"/>
  <c r="BA27" i="2"/>
  <c r="AZ27" i="2"/>
  <c r="AY27" i="2"/>
  <c r="BD27" i="2" s="1"/>
  <c r="AX27" i="2"/>
  <c r="BF27" i="2" s="1"/>
  <c r="CQ27" i="2" s="1"/>
  <c r="AV27" i="2"/>
  <c r="AN27" i="2"/>
  <c r="AE27" i="2"/>
  <c r="AB27" i="2"/>
  <c r="BG27" i="2" s="1"/>
  <c r="AA27" i="2"/>
  <c r="P27" i="2"/>
  <c r="BE27" i="2" s="1"/>
  <c r="H27" i="2"/>
  <c r="G27" i="2"/>
  <c r="CP26" i="2"/>
  <c r="CG26" i="2"/>
  <c r="CF26" i="2"/>
  <c r="CL26" i="2" s="1"/>
  <c r="CE26" i="2"/>
  <c r="CD26" i="2"/>
  <c r="CC26" i="2"/>
  <c r="BI26" i="2"/>
  <c r="CM26" i="2" s="1"/>
  <c r="BH26" i="2"/>
  <c r="BE26" i="2"/>
  <c r="CI26" i="2" s="1"/>
  <c r="BB26" i="2"/>
  <c r="BA26" i="2"/>
  <c r="BD26" i="2" s="1"/>
  <c r="AX26" i="2"/>
  <c r="BF26" i="2" s="1"/>
  <c r="AV26" i="2"/>
  <c r="AM26" i="2"/>
  <c r="AE26" i="2"/>
  <c r="AB26" i="2"/>
  <c r="AA26" i="2"/>
  <c r="X26" i="2"/>
  <c r="P26" i="2"/>
  <c r="H26" i="2"/>
  <c r="G26" i="2"/>
  <c r="CL25" i="2"/>
  <c r="CG25" i="2"/>
  <c r="CF25" i="2"/>
  <c r="CE25" i="2"/>
  <c r="CD25" i="2"/>
  <c r="CC25" i="2"/>
  <c r="BI25" i="2"/>
  <c r="CM25" i="2" s="1"/>
  <c r="BH25" i="2"/>
  <c r="CS25" i="2" s="1"/>
  <c r="BD25" i="2"/>
  <c r="BB25" i="2"/>
  <c r="AX25" i="2"/>
  <c r="BF25" i="2" s="1"/>
  <c r="AV25" i="2"/>
  <c r="AN25" i="2"/>
  <c r="AM25" i="2"/>
  <c r="AE25" i="2"/>
  <c r="AB25" i="2"/>
  <c r="AA25" i="2"/>
  <c r="P25" i="2"/>
  <c r="R25" i="2" s="1"/>
  <c r="L25" i="2"/>
  <c r="H25" i="2"/>
  <c r="G25" i="2"/>
  <c r="CM24" i="2"/>
  <c r="CL24" i="2"/>
  <c r="CG24" i="2"/>
  <c r="CF24" i="2"/>
  <c r="CE24" i="2"/>
  <c r="CD24" i="2"/>
  <c r="CC24" i="2"/>
  <c r="BI24" i="2"/>
  <c r="CT24" i="2" s="1"/>
  <c r="BH24" i="2"/>
  <c r="CS24" i="2" s="1"/>
  <c r="BF24" i="2"/>
  <c r="CJ24" i="2" s="1"/>
  <c r="BD24" i="2"/>
  <c r="AX24" i="2"/>
  <c r="AN24" i="2"/>
  <c r="AM24" i="2"/>
  <c r="AE24" i="2"/>
  <c r="AB24" i="2"/>
  <c r="BG24" i="2" s="1"/>
  <c r="AA24" i="2"/>
  <c r="L24" i="2"/>
  <c r="P24" i="2" s="1"/>
  <c r="BE24" i="2" s="1"/>
  <c r="CP24" i="2" s="1"/>
  <c r="H24" i="2"/>
  <c r="G24" i="2"/>
  <c r="CG23" i="2"/>
  <c r="CT23" i="2" s="1"/>
  <c r="CF23" i="2"/>
  <c r="CS23" i="2" s="1"/>
  <c r="CE23" i="2"/>
  <c r="CD23" i="2"/>
  <c r="CC23" i="2"/>
  <c r="BI23" i="2"/>
  <c r="BH23" i="2"/>
  <c r="BF23" i="2"/>
  <c r="CQ23" i="2" s="1"/>
  <c r="BD23" i="2"/>
  <c r="AX23" i="2"/>
  <c r="AN23" i="2"/>
  <c r="AE23" i="2"/>
  <c r="AA23" i="2"/>
  <c r="X23" i="2"/>
  <c r="AB23" i="2" s="1"/>
  <c r="BG23" i="2" s="1"/>
  <c r="P23" i="2"/>
  <c r="BE23" i="2" s="1"/>
  <c r="H23" i="2"/>
  <c r="G23" i="2"/>
  <c r="CG22" i="2"/>
  <c r="CT22" i="2" s="1"/>
  <c r="CF22" i="2"/>
  <c r="CL22" i="2" s="1"/>
  <c r="CE22" i="2"/>
  <c r="CD22" i="2"/>
  <c r="CC22" i="2"/>
  <c r="BI22" i="2"/>
  <c r="BH22" i="2"/>
  <c r="CS22" i="2" s="1"/>
  <c r="BD22" i="2"/>
  <c r="AX22" i="2"/>
  <c r="BF22" i="2" s="1"/>
  <c r="AN22" i="2"/>
  <c r="AM22" i="2"/>
  <c r="AE22" i="2"/>
  <c r="AB22" i="2"/>
  <c r="BG22" i="2" s="1"/>
  <c r="AA22" i="2"/>
  <c r="Y22" i="2"/>
  <c r="X22" i="2"/>
  <c r="P22" i="2"/>
  <c r="BE22" i="2" s="1"/>
  <c r="H22" i="2"/>
  <c r="G22" i="2"/>
  <c r="CG21" i="2"/>
  <c r="CT21" i="2" s="1"/>
  <c r="CF21" i="2"/>
  <c r="CS21" i="2" s="1"/>
  <c r="CE21" i="2"/>
  <c r="CD21" i="2"/>
  <c r="CC21" i="2"/>
  <c r="BI21" i="2"/>
  <c r="BH21" i="2"/>
  <c r="BE21" i="2"/>
  <c r="CI21" i="2" s="1"/>
  <c r="BA21" i="2"/>
  <c r="AZ21" i="2"/>
  <c r="BD21" i="2" s="1"/>
  <c r="AX21" i="2"/>
  <c r="BF21" i="2" s="1"/>
  <c r="AB21" i="2"/>
  <c r="BG21" i="2" s="1"/>
  <c r="CR21" i="2" s="1"/>
  <c r="L21" i="2"/>
  <c r="P21" i="2" s="1"/>
  <c r="CG20" i="2"/>
  <c r="CM20" i="2" s="1"/>
  <c r="CF20" i="2"/>
  <c r="CE20" i="2"/>
  <c r="CD20" i="2"/>
  <c r="CC20" i="2"/>
  <c r="BI20" i="2"/>
  <c r="BH20" i="2"/>
  <c r="CL20" i="2" s="1"/>
  <c r="BD20" i="2"/>
  <c r="AS20" i="2"/>
  <c r="AX20" i="2" s="1"/>
  <c r="BF20" i="2" s="1"/>
  <c r="AQ20" i="2"/>
  <c r="AN20" i="2"/>
  <c r="AM20" i="2"/>
  <c r="AE20" i="2"/>
  <c r="AA20" i="2"/>
  <c r="X20" i="2"/>
  <c r="P20" i="2"/>
  <c r="H20" i="2"/>
  <c r="G20" i="2"/>
  <c r="CS19" i="2"/>
  <c r="CL19" i="2"/>
  <c r="CG19" i="2"/>
  <c r="CM19" i="2" s="1"/>
  <c r="CF19" i="2"/>
  <c r="CE19" i="2"/>
  <c r="CD19" i="2"/>
  <c r="CC19" i="2"/>
  <c r="BI19" i="2"/>
  <c r="BH19" i="2"/>
  <c r="BF19" i="2"/>
  <c r="CQ19" i="2" s="1"/>
  <c r="BD19" i="2"/>
  <c r="AX19" i="2"/>
  <c r="AR19" i="2"/>
  <c r="AQ19" i="2"/>
  <c r="BE19" i="2" s="1"/>
  <c r="CP19" i="2" s="1"/>
  <c r="AN19" i="2"/>
  <c r="AM19" i="2"/>
  <c r="AE19" i="2"/>
  <c r="AA19" i="2"/>
  <c r="AB19" i="2" s="1"/>
  <c r="BG19" i="2" s="1"/>
  <c r="P19" i="2"/>
  <c r="H19" i="2"/>
  <c r="G19" i="2"/>
  <c r="CG18" i="2"/>
  <c r="CF18" i="2"/>
  <c r="CL18" i="2" s="1"/>
  <c r="CE18" i="2"/>
  <c r="CD18" i="2"/>
  <c r="CC18" i="2"/>
  <c r="BI18" i="2"/>
  <c r="CT18" i="2" s="1"/>
  <c r="BH18" i="2"/>
  <c r="CS18" i="2" s="1"/>
  <c r="BE18" i="2"/>
  <c r="CP18" i="2" s="1"/>
  <c r="BD18" i="2"/>
  <c r="AX18" i="2"/>
  <c r="BF18" i="2" s="1"/>
  <c r="AN18" i="2"/>
  <c r="AE18" i="2"/>
  <c r="AA18" i="2"/>
  <c r="AB18" i="2" s="1"/>
  <c r="BG18" i="2" s="1"/>
  <c r="P18" i="2"/>
  <c r="H18" i="2"/>
  <c r="G18" i="2"/>
  <c r="CM17" i="2"/>
  <c r="CG17" i="2"/>
  <c r="CF17" i="2"/>
  <c r="CE17" i="2"/>
  <c r="CD17" i="2"/>
  <c r="CC17" i="2"/>
  <c r="BI17" i="2"/>
  <c r="CT17" i="2" s="1"/>
  <c r="BH17" i="2"/>
  <c r="CS17" i="2" s="1"/>
  <c r="BG17" i="2"/>
  <c r="CK17" i="2" s="1"/>
  <c r="BD17" i="2"/>
  <c r="AX17" i="2"/>
  <c r="BF17" i="2" s="1"/>
  <c r="AN17" i="2"/>
  <c r="AM17" i="2"/>
  <c r="AE17" i="2"/>
  <c r="AA17" i="2"/>
  <c r="P17" i="2"/>
  <c r="BE17" i="2" s="1"/>
  <c r="H17" i="2"/>
  <c r="CL16" i="2"/>
  <c r="CG16" i="2"/>
  <c r="CM16" i="2" s="1"/>
  <c r="CF16" i="2"/>
  <c r="CE16" i="2"/>
  <c r="CD16" i="2"/>
  <c r="CC16" i="2"/>
  <c r="BI16" i="2"/>
  <c r="CT16" i="2" s="1"/>
  <c r="BH16" i="2"/>
  <c r="CS16" i="2" s="1"/>
  <c r="BG16" i="2"/>
  <c r="CR16" i="2" s="1"/>
  <c r="BF16" i="2"/>
  <c r="CJ16" i="2" s="1"/>
  <c r="BD16" i="2"/>
  <c r="AX16" i="2"/>
  <c r="AR16" i="2"/>
  <c r="AQ16" i="2"/>
  <c r="BE16" i="2" s="1"/>
  <c r="AN16" i="2"/>
  <c r="AM16" i="2"/>
  <c r="AE16" i="2"/>
  <c r="AA16" i="2"/>
  <c r="P16" i="2"/>
  <c r="H16" i="2"/>
  <c r="G16" i="2"/>
  <c r="CG15" i="2"/>
  <c r="CF15" i="2"/>
  <c r="CE15" i="2"/>
  <c r="CD15" i="2"/>
  <c r="CC15" i="2"/>
  <c r="BI15" i="2"/>
  <c r="CT15" i="2" s="1"/>
  <c r="BH15" i="2"/>
  <c r="CL15" i="2" s="1"/>
  <c r="BD15" i="2"/>
  <c r="BA15" i="2"/>
  <c r="AZ15" i="2"/>
  <c r="AY15" i="2"/>
  <c r="AX15" i="2"/>
  <c r="BF15" i="2" s="1"/>
  <c r="AU15" i="2"/>
  <c r="AA15" i="2"/>
  <c r="AB15" i="2" s="1"/>
  <c r="BG15" i="2" s="1"/>
  <c r="P15" i="2"/>
  <c r="BE15" i="2" s="1"/>
  <c r="L15" i="2"/>
  <c r="CG14" i="2"/>
  <c r="CF14" i="2"/>
  <c r="CL14" i="2" s="1"/>
  <c r="CE14" i="2"/>
  <c r="CD14" i="2"/>
  <c r="CC14" i="2"/>
  <c r="BI14" i="2"/>
  <c r="CM14" i="2" s="1"/>
  <c r="BH14" i="2"/>
  <c r="CS14" i="2" s="1"/>
  <c r="BF14" i="2"/>
  <c r="CQ14" i="2" s="1"/>
  <c r="BD14" i="2"/>
  <c r="AX14" i="2"/>
  <c r="AR14" i="2"/>
  <c r="AQ14" i="2"/>
  <c r="BE14" i="2" s="1"/>
  <c r="AN14" i="2"/>
  <c r="AM14" i="2"/>
  <c r="AI14" i="2"/>
  <c r="AH14" i="2"/>
  <c r="AG14" i="2"/>
  <c r="AE14" i="2"/>
  <c r="AC14" i="2"/>
  <c r="AB14" i="2"/>
  <c r="BG14" i="2" s="1"/>
  <c r="AA14" i="2"/>
  <c r="L14" i="2"/>
  <c r="P14" i="2" s="1"/>
  <c r="CM13" i="2"/>
  <c r="CG13" i="2"/>
  <c r="CF13" i="2"/>
  <c r="CE13" i="2"/>
  <c r="CD13" i="2"/>
  <c r="CC13" i="2"/>
  <c r="BI13" i="2"/>
  <c r="CT13" i="2" s="1"/>
  <c r="BH13" i="2"/>
  <c r="CS13" i="2" s="1"/>
  <c r="BD13" i="2"/>
  <c r="AX13" i="2"/>
  <c r="BF13" i="2" s="1"/>
  <c r="AR13" i="2"/>
  <c r="AQ13" i="2"/>
  <c r="BE13" i="2" s="1"/>
  <c r="AN13" i="2"/>
  <c r="AE13" i="2"/>
  <c r="AA13" i="2"/>
  <c r="AB13" i="2" s="1"/>
  <c r="BG13" i="2" s="1"/>
  <c r="P13" i="2"/>
  <c r="H13" i="2"/>
  <c r="G13" i="2"/>
  <c r="CG12" i="2"/>
  <c r="CF12" i="2"/>
  <c r="CL12" i="2" s="1"/>
  <c r="CE12" i="2"/>
  <c r="CD12" i="2"/>
  <c r="CC12" i="2"/>
  <c r="BI12" i="2"/>
  <c r="CM12" i="2" s="1"/>
  <c r="BH12" i="2"/>
  <c r="CS12" i="2" s="1"/>
  <c r="BF12" i="2"/>
  <c r="CQ12" i="2" s="1"/>
  <c r="BD12" i="2"/>
  <c r="AX12" i="2"/>
  <c r="AN12" i="2"/>
  <c r="AE12" i="2"/>
  <c r="AA12" i="2"/>
  <c r="X12" i="2"/>
  <c r="AB12" i="2" s="1"/>
  <c r="BG12" i="2" s="1"/>
  <c r="P12" i="2"/>
  <c r="BE12" i="2" s="1"/>
  <c r="H12" i="2"/>
  <c r="G12" i="2"/>
  <c r="CL11" i="2"/>
  <c r="CG11" i="2"/>
  <c r="CM11" i="2" s="1"/>
  <c r="CF11" i="2"/>
  <c r="CE11" i="2"/>
  <c r="CD11" i="2"/>
  <c r="CC11" i="2"/>
  <c r="BI11" i="2"/>
  <c r="CT11" i="2" s="1"/>
  <c r="BH11" i="2"/>
  <c r="CS11" i="2" s="1"/>
  <c r="BF11" i="2"/>
  <c r="CJ11" i="2" s="1"/>
  <c r="BD11" i="2"/>
  <c r="AX11" i="2"/>
  <c r="AN11" i="2"/>
  <c r="AM11" i="2"/>
  <c r="AE11" i="2"/>
  <c r="AA11" i="2"/>
  <c r="AB11" i="2" s="1"/>
  <c r="BG11" i="2" s="1"/>
  <c r="P11" i="2"/>
  <c r="BE11" i="2" s="1"/>
  <c r="H11" i="2"/>
  <c r="G11" i="2"/>
  <c r="CM10" i="2"/>
  <c r="CG10" i="2"/>
  <c r="CF10" i="2"/>
  <c r="CE10" i="2"/>
  <c r="CD10" i="2"/>
  <c r="CC10" i="2"/>
  <c r="BI10" i="2"/>
  <c r="CT10" i="2" s="1"/>
  <c r="BH10" i="2"/>
  <c r="CS10" i="2" s="1"/>
  <c r="BB10" i="2"/>
  <c r="BD10" i="2" s="1"/>
  <c r="AV10" i="2"/>
  <c r="AX10" i="2" s="1"/>
  <c r="BF10" i="2" s="1"/>
  <c r="AB10" i="2"/>
  <c r="P10" i="2"/>
  <c r="BE10" i="2" s="1"/>
  <c r="H10" i="2"/>
  <c r="G10" i="2"/>
  <c r="CL9" i="2"/>
  <c r="CG9" i="2"/>
  <c r="CM9" i="2" s="1"/>
  <c r="CF9" i="2"/>
  <c r="CE9" i="2"/>
  <c r="CD9" i="2"/>
  <c r="CC9" i="2"/>
  <c r="BI9" i="2"/>
  <c r="CT9" i="2" s="1"/>
  <c r="BH9" i="2"/>
  <c r="CS9" i="2" s="1"/>
  <c r="BF9" i="2"/>
  <c r="CJ9" i="2" s="1"/>
  <c r="BD9" i="2"/>
  <c r="AX9" i="2"/>
  <c r="AR9" i="2"/>
  <c r="AR327" i="2" s="1"/>
  <c r="AQ9" i="2"/>
  <c r="AL9" i="2"/>
  <c r="AL327" i="2" s="1"/>
  <c r="AK9" i="2"/>
  <c r="AI9" i="2"/>
  <c r="AH9" i="2"/>
  <c r="AG9" i="2"/>
  <c r="AC9" i="2"/>
  <c r="AE9" i="2" s="1"/>
  <c r="AA9" i="2"/>
  <c r="AB9" i="2" s="1"/>
  <c r="BG9" i="2" s="1"/>
  <c r="P9" i="2"/>
  <c r="G9" i="2"/>
  <c r="CL8" i="2"/>
  <c r="CG8" i="2"/>
  <c r="CM8" i="2" s="1"/>
  <c r="CF8" i="2"/>
  <c r="CE8" i="2"/>
  <c r="CD8" i="2"/>
  <c r="CC8" i="2"/>
  <c r="BI8" i="2"/>
  <c r="CT8" i="2" s="1"/>
  <c r="BH8" i="2"/>
  <c r="CS8" i="2" s="1"/>
  <c r="BF8" i="2"/>
  <c r="CJ8" i="2" s="1"/>
  <c r="BD8" i="2"/>
  <c r="AX8" i="2"/>
  <c r="AE8" i="2"/>
  <c r="AB8" i="2"/>
  <c r="AA8" i="2"/>
  <c r="P8" i="2"/>
  <c r="BG8" i="2" s="1"/>
  <c r="H8" i="2"/>
  <c r="G8" i="2"/>
  <c r="CG7" i="2"/>
  <c r="CF7" i="2"/>
  <c r="CL7" i="2" s="1"/>
  <c r="CE7" i="2"/>
  <c r="CD7" i="2"/>
  <c r="CC7" i="2"/>
  <c r="BI7" i="2"/>
  <c r="CM7" i="2" s="1"/>
  <c r="BH7" i="2"/>
  <c r="CS7" i="2" s="1"/>
  <c r="BB7" i="2"/>
  <c r="BA7" i="2"/>
  <c r="BD7" i="2" s="1"/>
  <c r="AX7" i="2"/>
  <c r="BF7" i="2" s="1"/>
  <c r="AU7" i="2"/>
  <c r="AN7" i="2"/>
  <c r="AM7" i="2"/>
  <c r="AE7" i="2"/>
  <c r="AA7" i="2"/>
  <c r="X7" i="2"/>
  <c r="X327" i="2" s="1"/>
  <c r="P7" i="2"/>
  <c r="BE7" i="2" s="1"/>
  <c r="H7" i="2"/>
  <c r="G7" i="2"/>
  <c r="CL5" i="2"/>
  <c r="CG5" i="2"/>
  <c r="CM5" i="2" s="1"/>
  <c r="CF5" i="2"/>
  <c r="CE5" i="2"/>
  <c r="CD5" i="2"/>
  <c r="CC5" i="2"/>
  <c r="BI5" i="2"/>
  <c r="CT5" i="2" s="1"/>
  <c r="BH5" i="2"/>
  <c r="CS5" i="2" s="1"/>
  <c r="BF5" i="2"/>
  <c r="CJ5" i="2" s="1"/>
  <c r="BD5" i="2"/>
  <c r="AX5" i="2"/>
  <c r="AM5" i="2"/>
  <c r="AE5" i="2"/>
  <c r="AB5" i="2"/>
  <c r="P5" i="2"/>
  <c r="BG5" i="2" s="1"/>
  <c r="B2" i="2"/>
  <c r="C2" i="2" s="1"/>
  <c r="D2" i="2" s="1"/>
  <c r="E2" i="2" s="1"/>
  <c r="G2" i="2" s="1"/>
  <c r="H2" i="2" s="1"/>
  <c r="I2" i="2" s="1"/>
  <c r="J2" i="2" s="1"/>
  <c r="K2" i="2" s="1"/>
  <c r="L2" i="2" s="1"/>
  <c r="M2" i="2" s="1"/>
  <c r="N2" i="2" s="1"/>
  <c r="O2" i="2" s="1"/>
  <c r="P2" i="2" s="1"/>
  <c r="Q2" i="2" s="1"/>
  <c r="R2" i="2" s="1"/>
  <c r="S2" i="2" s="1"/>
  <c r="T2" i="2" s="1"/>
  <c r="U2" i="2" s="1"/>
  <c r="V2" i="2" s="1"/>
  <c r="W2" i="2" s="1"/>
  <c r="X2" i="2" s="1"/>
  <c r="Y2" i="2" s="1"/>
  <c r="Z2" i="2" s="1"/>
  <c r="AA2" i="2" s="1"/>
  <c r="AB2" i="2" s="1"/>
  <c r="AC2" i="2" s="1"/>
  <c r="AD2" i="2" s="1"/>
  <c r="AE2" i="2" s="1"/>
  <c r="AF2" i="2" s="1"/>
  <c r="AG2" i="2" s="1"/>
  <c r="AH2" i="2" s="1"/>
  <c r="AI2" i="2" s="1"/>
  <c r="AJ2" i="2" s="1"/>
  <c r="AK2" i="2" s="1"/>
  <c r="AL2" i="2" s="1"/>
  <c r="AM2" i="2" s="1"/>
  <c r="AN2" i="2" s="1"/>
  <c r="AO2" i="2" s="1"/>
  <c r="AP2" i="2" s="1"/>
  <c r="AQ2" i="2" s="1"/>
  <c r="AR2" i="2" s="1"/>
  <c r="AS2" i="2" s="1"/>
  <c r="AT2" i="2" s="1"/>
  <c r="AU2" i="2" s="1"/>
  <c r="AV2" i="2" s="1"/>
  <c r="AW2" i="2" s="1"/>
  <c r="AX2" i="2" s="1"/>
  <c r="AY2" i="2" s="1"/>
  <c r="AZ2" i="2" s="1"/>
  <c r="BA2" i="2" s="1"/>
  <c r="BB2" i="2" s="1"/>
  <c r="BC2" i="2" s="1"/>
  <c r="BD2" i="2" s="1"/>
  <c r="CR11" i="2" l="1"/>
  <c r="CK11" i="2"/>
  <c r="CR14" i="2"/>
  <c r="CK14" i="2"/>
  <c r="CQ15" i="2"/>
  <c r="CJ15" i="2"/>
  <c r="CJ18" i="2"/>
  <c r="CQ18" i="2"/>
  <c r="CU18" i="2" s="1"/>
  <c r="CQ20" i="2"/>
  <c r="CJ20" i="2"/>
  <c r="CP22" i="2"/>
  <c r="CU22" i="2" s="1"/>
  <c r="CI22" i="2"/>
  <c r="CJ22" i="2"/>
  <c r="CQ22" i="2"/>
  <c r="CR23" i="2"/>
  <c r="CK23" i="2"/>
  <c r="CJ26" i="2"/>
  <c r="CQ26" i="2"/>
  <c r="CK44" i="2"/>
  <c r="CR44" i="2"/>
  <c r="CI12" i="2"/>
  <c r="CP12" i="2"/>
  <c r="CU12" i="2" s="1"/>
  <c r="CK18" i="2"/>
  <c r="CR18" i="2"/>
  <c r="CP15" i="2"/>
  <c r="CI15" i="2"/>
  <c r="CK19" i="2"/>
  <c r="CR19" i="2"/>
  <c r="CU19" i="2" s="1"/>
  <c r="CI28" i="2"/>
  <c r="CP28" i="2"/>
  <c r="CU28" i="2" s="1"/>
  <c r="CK24" i="2"/>
  <c r="CR24" i="2"/>
  <c r="CP27" i="2"/>
  <c r="CU27" i="2" s="1"/>
  <c r="CI27" i="2"/>
  <c r="CI38" i="2"/>
  <c r="CP38" i="2"/>
  <c r="CP161" i="2"/>
  <c r="CI161" i="2"/>
  <c r="CJ13" i="2"/>
  <c r="CQ13" i="2"/>
  <c r="CI14" i="2"/>
  <c r="CP14" i="2"/>
  <c r="CR22" i="2"/>
  <c r="CK22" i="2"/>
  <c r="CJ25" i="2"/>
  <c r="CQ25" i="2"/>
  <c r="CP10" i="2"/>
  <c r="CI10" i="2"/>
  <c r="CR5" i="2"/>
  <c r="CK5" i="2"/>
  <c r="CQ7" i="2"/>
  <c r="CJ7" i="2"/>
  <c r="CR8" i="2"/>
  <c r="CK8" i="2"/>
  <c r="CR12" i="2"/>
  <c r="CK12" i="2"/>
  <c r="CP13" i="2"/>
  <c r="CI13" i="2"/>
  <c r="CK15" i="2"/>
  <c r="CR15" i="2"/>
  <c r="CP17" i="2"/>
  <c r="CI17" i="2"/>
  <c r="CI7" i="2"/>
  <c r="CP7" i="2"/>
  <c r="CR9" i="2"/>
  <c r="CK9" i="2"/>
  <c r="CJ10" i="2"/>
  <c r="CQ10" i="2"/>
  <c r="CI11" i="2"/>
  <c r="CP11" i="2"/>
  <c r="CK13" i="2"/>
  <c r="CR13" i="2"/>
  <c r="CI16" i="2"/>
  <c r="CP16" i="2"/>
  <c r="CU16" i="2" s="1"/>
  <c r="CJ17" i="2"/>
  <c r="CQ17" i="2"/>
  <c r="CQ21" i="2"/>
  <c r="CJ21" i="2"/>
  <c r="CN21" i="2" s="1"/>
  <c r="CI23" i="2"/>
  <c r="CP23" i="2"/>
  <c r="CU23" i="2" s="1"/>
  <c r="CK46" i="2"/>
  <c r="CR46" i="2"/>
  <c r="CQ16" i="2"/>
  <c r="AN32" i="2"/>
  <c r="AM32" i="2"/>
  <c r="CJ44" i="2"/>
  <c r="CQ44" i="2"/>
  <c r="CU44" i="2" s="1"/>
  <c r="CQ50" i="2"/>
  <c r="CU50" i="2" s="1"/>
  <c r="CJ50" i="2"/>
  <c r="CN50" i="2" s="1"/>
  <c r="CR51" i="2"/>
  <c r="CK51" i="2"/>
  <c r="BE51" i="2"/>
  <c r="AM56" i="2"/>
  <c r="AN56" i="2"/>
  <c r="CK58" i="2"/>
  <c r="CR58" i="2"/>
  <c r="CQ62" i="2"/>
  <c r="CJ62" i="2"/>
  <c r="CJ64" i="2"/>
  <c r="CQ156" i="2"/>
  <c r="CJ156" i="2"/>
  <c r="BE5" i="2"/>
  <c r="AB7" i="2"/>
  <c r="BG7" i="2" s="1"/>
  <c r="BE8" i="2"/>
  <c r="AQ327" i="2"/>
  <c r="BE9" i="2"/>
  <c r="CL10" i="2"/>
  <c r="CJ12" i="2"/>
  <c r="CL13" i="2"/>
  <c r="CJ14" i="2"/>
  <c r="CM15" i="2"/>
  <c r="CK16" i="2"/>
  <c r="CL17" i="2"/>
  <c r="CI18" i="2"/>
  <c r="CT19" i="2"/>
  <c r="BE20" i="2"/>
  <c r="CS20" i="2"/>
  <c r="CM21" i="2"/>
  <c r="CL21" i="2"/>
  <c r="CM22" i="2"/>
  <c r="CM23" i="2"/>
  <c r="CL23" i="2"/>
  <c r="CT25" i="2"/>
  <c r="CS26" i="2"/>
  <c r="CS28" i="2"/>
  <c r="CK29" i="2"/>
  <c r="CR30" i="2"/>
  <c r="CK30" i="2"/>
  <c r="CI30" i="2"/>
  <c r="CP30" i="2"/>
  <c r="CT32" i="2"/>
  <c r="CN34" i="2"/>
  <c r="CJ37" i="2"/>
  <c r="AB42" i="2"/>
  <c r="BG42" i="2" s="1"/>
  <c r="AA42" i="2"/>
  <c r="BE46" i="2"/>
  <c r="R46" i="2"/>
  <c r="CT48" i="2"/>
  <c r="CK50" i="2"/>
  <c r="BE52" i="2"/>
  <c r="CJ52" i="2"/>
  <c r="CM53" i="2"/>
  <c r="CT53" i="2"/>
  <c r="CP54" i="2"/>
  <c r="CU54" i="2" s="1"/>
  <c r="CI54" i="2"/>
  <c r="CJ54" i="2"/>
  <c r="CQ54" i="2"/>
  <c r="CI55" i="2"/>
  <c r="CP55" i="2"/>
  <c r="CR55" i="2"/>
  <c r="CK57" i="2"/>
  <c r="CN58" i="2"/>
  <c r="CP58" i="2"/>
  <c r="CL59" i="2"/>
  <c r="CL61" i="2"/>
  <c r="CP62" i="2"/>
  <c r="CI62" i="2"/>
  <c r="CR78" i="2"/>
  <c r="CK78" i="2"/>
  <c r="CN78" i="2" s="1"/>
  <c r="CJ78" i="2"/>
  <c r="CQ78" i="2"/>
  <c r="BE89" i="2"/>
  <c r="R89" i="2"/>
  <c r="CQ5" i="2"/>
  <c r="CT7" i="2"/>
  <c r="CQ8" i="2"/>
  <c r="CT14" i="2"/>
  <c r="CI41" i="2"/>
  <c r="CK49" i="2"/>
  <c r="CR49" i="2"/>
  <c r="CT55" i="2"/>
  <c r="CM55" i="2"/>
  <c r="CJ60" i="2"/>
  <c r="CI61" i="2"/>
  <c r="CP61" i="2"/>
  <c r="CP64" i="2"/>
  <c r="CI64" i="2"/>
  <c r="CJ80" i="2"/>
  <c r="CQ80" i="2"/>
  <c r="CR136" i="2"/>
  <c r="CU136" i="2" s="1"/>
  <c r="CK136" i="2"/>
  <c r="CP152" i="2"/>
  <c r="CI152" i="2"/>
  <c r="CQ152" i="2"/>
  <c r="CJ152" i="2"/>
  <c r="AM9" i="2"/>
  <c r="AM327" i="2" s="1"/>
  <c r="CI19" i="2"/>
  <c r="CP21" i="2"/>
  <c r="CU21" i="2" s="1"/>
  <c r="CJ23" i="2"/>
  <c r="R24" i="2"/>
  <c r="CQ24" i="2"/>
  <c r="CU24" i="2" s="1"/>
  <c r="CT29" i="2"/>
  <c r="CU29" i="2" s="1"/>
  <c r="BG31" i="2"/>
  <c r="CQ31" i="2"/>
  <c r="BE32" i="2"/>
  <c r="BG36" i="2"/>
  <c r="CS36" i="2"/>
  <c r="CS37" i="2"/>
  <c r="CT38" i="2"/>
  <c r="CK40" i="2"/>
  <c r="CR40" i="2"/>
  <c r="CP40" i="2"/>
  <c r="CU40" i="2" s="1"/>
  <c r="CI40" i="2"/>
  <c r="CQ42" i="2"/>
  <c r="CI43" i="2"/>
  <c r="CP43" i="2"/>
  <c r="CK45" i="2"/>
  <c r="CR45" i="2"/>
  <c r="CP45" i="2"/>
  <c r="CI45" i="2"/>
  <c r="CJ46" i="2"/>
  <c r="CQ46" i="2"/>
  <c r="CI47" i="2"/>
  <c r="CP47" i="2"/>
  <c r="CQ47" i="2"/>
  <c r="CK48" i="2"/>
  <c r="CJ49" i="2"/>
  <c r="CT50" i="2"/>
  <c r="CK54" i="2"/>
  <c r="CR54" i="2"/>
  <c r="CI56" i="2"/>
  <c r="CP56" i="2"/>
  <c r="CP57" i="2"/>
  <c r="CU57" i="2" s="1"/>
  <c r="CI57" i="2"/>
  <c r="CK62" i="2"/>
  <c r="CQ63" i="2"/>
  <c r="CU63" i="2" s="1"/>
  <c r="CJ63" i="2"/>
  <c r="CN63" i="2" s="1"/>
  <c r="CT68" i="2"/>
  <c r="CM68" i="2"/>
  <c r="CK69" i="2"/>
  <c r="CR69" i="2"/>
  <c r="CK76" i="2"/>
  <c r="CR76" i="2"/>
  <c r="CK95" i="2"/>
  <c r="CR95" i="2"/>
  <c r="CQ119" i="2"/>
  <c r="CJ119" i="2"/>
  <c r="CI119" i="2"/>
  <c r="CP119" i="2"/>
  <c r="CQ9" i="2"/>
  <c r="BG10" i="2"/>
  <c r="CQ11" i="2"/>
  <c r="CT12" i="2"/>
  <c r="CS15" i="2"/>
  <c r="CR17" i="2"/>
  <c r="CK27" i="2"/>
  <c r="CR27" i="2"/>
  <c r="CT28" i="2"/>
  <c r="BE31" i="2"/>
  <c r="CP36" i="2"/>
  <c r="CI36" i="2"/>
  <c r="CP59" i="2"/>
  <c r="CU59" i="2" s="1"/>
  <c r="CI59" i="2"/>
  <c r="AN9" i="2"/>
  <c r="CM18" i="2"/>
  <c r="CJ19" i="2"/>
  <c r="AB20" i="2"/>
  <c r="BG20" i="2" s="1"/>
  <c r="CT20" i="2"/>
  <c r="CK21" i="2"/>
  <c r="Y327" i="2"/>
  <c r="CI24" i="2"/>
  <c r="BG25" i="2"/>
  <c r="BE25" i="2"/>
  <c r="BG26" i="2"/>
  <c r="CT26" i="2"/>
  <c r="CJ27" i="2"/>
  <c r="CK28" i="2"/>
  <c r="CN29" i="2"/>
  <c r="AN31" i="2"/>
  <c r="CT31" i="2"/>
  <c r="BG32" i="2"/>
  <c r="CQ32" i="2"/>
  <c r="CP33" i="2"/>
  <c r="CI33" i="2"/>
  <c r="CS33" i="2"/>
  <c r="CQ34" i="2"/>
  <c r="CU34" i="2" s="1"/>
  <c r="CK37" i="2"/>
  <c r="CR37" i="2"/>
  <c r="CU37" i="2" s="1"/>
  <c r="CR39" i="2"/>
  <c r="CU39" i="2" s="1"/>
  <c r="CS40" i="2"/>
  <c r="CJ41" i="2"/>
  <c r="CQ41" i="2"/>
  <c r="CU41" i="2" s="1"/>
  <c r="CR41" i="2"/>
  <c r="CI42" i="2"/>
  <c r="CP42" i="2"/>
  <c r="CT42" i="2"/>
  <c r="BG43" i="2"/>
  <c r="CI44" i="2"/>
  <c r="CS45" i="2"/>
  <c r="CR47" i="2"/>
  <c r="CK47" i="2"/>
  <c r="CT47" i="2"/>
  <c r="CS48" i="2"/>
  <c r="CP48" i="2"/>
  <c r="CU48" i="2" s="1"/>
  <c r="CP49" i="2"/>
  <c r="CI49" i="2"/>
  <c r="CR53" i="2"/>
  <c r="CK53" i="2"/>
  <c r="CQ57" i="2"/>
  <c r="CJ57" i="2"/>
  <c r="CI66" i="2"/>
  <c r="CP66" i="2"/>
  <c r="CJ66" i="2"/>
  <c r="CP67" i="2"/>
  <c r="CI67" i="2"/>
  <c r="CJ67" i="2"/>
  <c r="CK68" i="2"/>
  <c r="CR68" i="2"/>
  <c r="CJ71" i="2"/>
  <c r="CU79" i="2"/>
  <c r="CM27" i="2"/>
  <c r="CJ28" i="2"/>
  <c r="CJ29" i="2"/>
  <c r="F29" i="2" s="1"/>
  <c r="AB33" i="2"/>
  <c r="BG33" i="2" s="1"/>
  <c r="CM33" i="2"/>
  <c r="CL34" i="2"/>
  <c r="F34" i="2" s="1"/>
  <c r="CK35" i="2"/>
  <c r="CM36" i="2"/>
  <c r="CI37" i="2"/>
  <c r="CM37" i="2"/>
  <c r="CJ38" i="2"/>
  <c r="CI39" i="2"/>
  <c r="CM39" i="2"/>
  <c r="CM40" i="2"/>
  <c r="CL41" i="2"/>
  <c r="CL44" i="2"/>
  <c r="CM45" i="2"/>
  <c r="CL46" i="2"/>
  <c r="CJ48" i="2"/>
  <c r="CM49" i="2"/>
  <c r="BG52" i="2"/>
  <c r="CL55" i="2"/>
  <c r="CJ55" i="2"/>
  <c r="CJ56" i="2"/>
  <c r="CM58" i="2"/>
  <c r="CJ59" i="2"/>
  <c r="CI60" i="2"/>
  <c r="CP60" i="2"/>
  <c r="CU60" i="2" s="1"/>
  <c r="CJ61" i="2"/>
  <c r="CM65" i="2"/>
  <c r="CR66" i="2"/>
  <c r="CK66" i="2"/>
  <c r="CQ68" i="2"/>
  <c r="CU68" i="2" s="1"/>
  <c r="CJ68" i="2"/>
  <c r="CL68" i="2"/>
  <c r="CN68" i="2" s="1"/>
  <c r="CP69" i="2"/>
  <c r="CI69" i="2"/>
  <c r="CJ69" i="2"/>
  <c r="CJ70" i="2"/>
  <c r="CP71" i="2"/>
  <c r="CI71" i="2"/>
  <c r="CP72" i="2"/>
  <c r="CI72" i="2"/>
  <c r="CL72" i="2"/>
  <c r="CU74" i="2"/>
  <c r="CQ75" i="2"/>
  <c r="CJ75" i="2"/>
  <c r="CU76" i="2"/>
  <c r="R77" i="2"/>
  <c r="BE77" i="2"/>
  <c r="AA77" i="2"/>
  <c r="AB77" i="2"/>
  <c r="BG77" i="2" s="1"/>
  <c r="CU78" i="2"/>
  <c r="CR79" i="2"/>
  <c r="CP82" i="2"/>
  <c r="CI82" i="2"/>
  <c r="BG84" i="2"/>
  <c r="CK94" i="2"/>
  <c r="CR94" i="2"/>
  <c r="CJ97" i="2"/>
  <c r="CQ97" i="2"/>
  <c r="BE109" i="2"/>
  <c r="R109" i="2"/>
  <c r="BG109" i="2"/>
  <c r="CK111" i="2"/>
  <c r="CR111" i="2"/>
  <c r="CR56" i="2"/>
  <c r="CK56" i="2"/>
  <c r="CK59" i="2"/>
  <c r="CR59" i="2"/>
  <c r="CR60" i="2"/>
  <c r="CK60" i="2"/>
  <c r="CK64" i="2"/>
  <c r="CR64" i="2"/>
  <c r="BE65" i="2"/>
  <c r="BG67" i="2"/>
  <c r="BG71" i="2"/>
  <c r="CQ73" i="2"/>
  <c r="CU73" i="2" s="1"/>
  <c r="CJ73" i="2"/>
  <c r="CN73" i="2" s="1"/>
  <c r="F73" i="2" s="1"/>
  <c r="CN75" i="2"/>
  <c r="F75" i="2"/>
  <c r="CK75" i="2"/>
  <c r="CQ82" i="2"/>
  <c r="CJ82" i="2"/>
  <c r="BE84" i="2"/>
  <c r="CP86" i="2"/>
  <c r="CI86" i="2"/>
  <c r="CJ86" i="2"/>
  <c r="BE87" i="2"/>
  <c r="R87" i="2"/>
  <c r="CK93" i="2"/>
  <c r="CR93" i="2"/>
  <c r="CK96" i="2"/>
  <c r="CR96" i="2"/>
  <c r="CU96" i="2" s="1"/>
  <c r="CI97" i="2"/>
  <c r="CP97" i="2"/>
  <c r="CP101" i="2"/>
  <c r="CI101" i="2"/>
  <c r="CQ101" i="2"/>
  <c r="CJ101" i="2"/>
  <c r="CR110" i="2"/>
  <c r="CK110" i="2"/>
  <c r="CQ110" i="2"/>
  <c r="CJ110" i="2"/>
  <c r="CS118" i="2"/>
  <c r="CL118" i="2"/>
  <c r="CI121" i="2"/>
  <c r="CP121" i="2"/>
  <c r="CP125" i="2"/>
  <c r="CI125" i="2"/>
  <c r="CI145" i="2"/>
  <c r="CP145" i="2"/>
  <c r="CK149" i="2"/>
  <c r="CR149" i="2"/>
  <c r="CU149" i="2" s="1"/>
  <c r="CQ51" i="2"/>
  <c r="CL51" i="2"/>
  <c r="CJ51" i="2"/>
  <c r="CM52" i="2"/>
  <c r="CL52" i="2"/>
  <c r="AX53" i="2"/>
  <c r="BF53" i="2" s="1"/>
  <c r="CP53" i="2"/>
  <c r="CS54" i="2"/>
  <c r="CJ58" i="2"/>
  <c r="F58" i="2" s="1"/>
  <c r="CQ58" i="2"/>
  <c r="CS58" i="2"/>
  <c r="CM60" i="2"/>
  <c r="BG61" i="2"/>
  <c r="CT64" i="2"/>
  <c r="BG65" i="2"/>
  <c r="CM66" i="2"/>
  <c r="CT67" i="2"/>
  <c r="AB70" i="2"/>
  <c r="BG70" i="2" s="1"/>
  <c r="CJ72" i="2"/>
  <c r="CK74" i="2"/>
  <c r="CP75" i="2"/>
  <c r="CU75" i="2" s="1"/>
  <c r="CM77" i="2"/>
  <c r="CM79" i="2"/>
  <c r="CK80" i="2"/>
  <c r="CR80" i="2"/>
  <c r="CP80" i="2"/>
  <c r="CI80" i="2"/>
  <c r="CR81" i="2"/>
  <c r="CK81" i="2"/>
  <c r="CK82" i="2"/>
  <c r="CN83" i="2"/>
  <c r="F83" i="2"/>
  <c r="Z327" i="2"/>
  <c r="CR88" i="2"/>
  <c r="CQ90" i="2"/>
  <c r="CJ90" i="2"/>
  <c r="CL91" i="2"/>
  <c r="CS91" i="2"/>
  <c r="CL100" i="2"/>
  <c r="CS100" i="2"/>
  <c r="CK103" i="2"/>
  <c r="CR103" i="2"/>
  <c r="BE106" i="2"/>
  <c r="BG106" i="2"/>
  <c r="R106" i="2"/>
  <c r="CI107" i="2"/>
  <c r="CP107" i="2"/>
  <c r="CK107" i="2"/>
  <c r="CI129" i="2"/>
  <c r="CP129" i="2"/>
  <c r="CT69" i="2"/>
  <c r="BE70" i="2"/>
  <c r="R70" i="2"/>
  <c r="CT71" i="2"/>
  <c r="BG72" i="2"/>
  <c r="CJ76" i="2"/>
  <c r="CN76" i="2" s="1"/>
  <c r="CQ76" i="2"/>
  <c r="CS76" i="2"/>
  <c r="CT80" i="2"/>
  <c r="CQ81" i="2"/>
  <c r="CJ81" i="2"/>
  <c r="CL81" i="2"/>
  <c r="AA86" i="2"/>
  <c r="AB86" i="2" s="1"/>
  <c r="BG86" i="2" s="1"/>
  <c r="BE88" i="2"/>
  <c r="P90" i="2"/>
  <c r="R90" i="2" s="1"/>
  <c r="CS90" i="2"/>
  <c r="CR91" i="2"/>
  <c r="CK91" i="2"/>
  <c r="CI91" i="2"/>
  <c r="CP91" i="2"/>
  <c r="CI93" i="2"/>
  <c r="CT94" i="2"/>
  <c r="BE95" i="2"/>
  <c r="CS97" i="2"/>
  <c r="CR100" i="2"/>
  <c r="CK100" i="2"/>
  <c r="BE100" i="2"/>
  <c r="BE104" i="2"/>
  <c r="BG104" i="2"/>
  <c r="BE105" i="2"/>
  <c r="R105" i="2"/>
  <c r="BG105" i="2"/>
  <c r="CQ106" i="2"/>
  <c r="CJ106" i="2"/>
  <c r="CQ109" i="2"/>
  <c r="CJ109" i="2"/>
  <c r="CJ112" i="2"/>
  <c r="CQ112" i="2"/>
  <c r="CQ113" i="2"/>
  <c r="CJ113" i="2"/>
  <c r="CN113" i="2" s="1"/>
  <c r="CI114" i="2"/>
  <c r="CP114" i="2"/>
  <c r="CU115" i="2"/>
  <c r="CK115" i="2"/>
  <c r="CP120" i="2"/>
  <c r="CI120" i="2"/>
  <c r="CJ120" i="2"/>
  <c r="CN123" i="2"/>
  <c r="CP124" i="2"/>
  <c r="CI124" i="2"/>
  <c r="CJ124" i="2"/>
  <c r="BE131" i="2"/>
  <c r="BE132" i="2"/>
  <c r="R132" i="2"/>
  <c r="CM135" i="2"/>
  <c r="CT135" i="2"/>
  <c r="CQ139" i="2"/>
  <c r="CJ139" i="2"/>
  <c r="CP142" i="2"/>
  <c r="CI142" i="2"/>
  <c r="CK143" i="2"/>
  <c r="CR143" i="2"/>
  <c r="CI146" i="2"/>
  <c r="CP146" i="2"/>
  <c r="AA150" i="2"/>
  <c r="AB150" i="2" s="1"/>
  <c r="BG150" i="2" s="1"/>
  <c r="CP150" i="2"/>
  <c r="CI150" i="2"/>
  <c r="CJ150" i="2"/>
  <c r="CQ150" i="2"/>
  <c r="CQ74" i="2"/>
  <c r="CJ74" i="2"/>
  <c r="CN74" i="2" s="1"/>
  <c r="CJ77" i="2"/>
  <c r="CQ77" i="2"/>
  <c r="CS77" i="2"/>
  <c r="CQ79" i="2"/>
  <c r="CJ79" i="2"/>
  <c r="CL79" i="2"/>
  <c r="CS80" i="2"/>
  <c r="BE81" i="2"/>
  <c r="CQ83" i="2"/>
  <c r="CU83" i="2" s="1"/>
  <c r="CJ83" i="2"/>
  <c r="CL83" i="2"/>
  <c r="CT83" i="2"/>
  <c r="CQ85" i="2"/>
  <c r="CU85" i="2" s="1"/>
  <c r="CJ85" i="2"/>
  <c r="CN85" i="2" s="1"/>
  <c r="CL85" i="2"/>
  <c r="CT85" i="2"/>
  <c r="BG87" i="2"/>
  <c r="CM87" i="2"/>
  <c r="CJ88" i="2"/>
  <c r="CQ88" i="2"/>
  <c r="CS88" i="2"/>
  <c r="CT88" i="2"/>
  <c r="BG89" i="2"/>
  <c r="CT89" i="2"/>
  <c r="AB90" i="2"/>
  <c r="BG90" i="2" s="1"/>
  <c r="AA92" i="2"/>
  <c r="AB92" i="2" s="1"/>
  <c r="BG92" i="2" s="1"/>
  <c r="CQ93" i="2"/>
  <c r="CU93" i="2" s="1"/>
  <c r="CJ93" i="2"/>
  <c r="CP94" i="2"/>
  <c r="CI94" i="2"/>
  <c r="CQ95" i="2"/>
  <c r="CJ95" i="2"/>
  <c r="CQ96" i="2"/>
  <c r="CJ96" i="2"/>
  <c r="CN96" i="2" s="1"/>
  <c r="CP98" i="2"/>
  <c r="CI98" i="2"/>
  <c r="CT98" i="2"/>
  <c r="CT99" i="2"/>
  <c r="CR101" i="2"/>
  <c r="CQ105" i="2"/>
  <c r="CJ105" i="2"/>
  <c r="CP108" i="2"/>
  <c r="CI108" i="2"/>
  <c r="BE110" i="2"/>
  <c r="R110" i="2"/>
  <c r="CQ111" i="2"/>
  <c r="CU111" i="2" s="1"/>
  <c r="CJ111" i="2"/>
  <c r="BE112" i="2"/>
  <c r="R112" i="2"/>
  <c r="CK113" i="2"/>
  <c r="CR113" i="2"/>
  <c r="CQ114" i="2"/>
  <c r="CJ114" i="2"/>
  <c r="CM114" i="2"/>
  <c r="CT114" i="2"/>
  <c r="CP116" i="2"/>
  <c r="CU116" i="2" s="1"/>
  <c r="CI116" i="2"/>
  <c r="CR118" i="2"/>
  <c r="BG121" i="2"/>
  <c r="AA122" i="2"/>
  <c r="BG122" i="2"/>
  <c r="CQ122" i="2"/>
  <c r="CJ122" i="2"/>
  <c r="CP122" i="2"/>
  <c r="CP123" i="2"/>
  <c r="BE126" i="2"/>
  <c r="R126" i="2"/>
  <c r="BG126" i="2"/>
  <c r="CQ132" i="2"/>
  <c r="CJ132" i="2"/>
  <c r="CI138" i="2"/>
  <c r="CP138" i="2"/>
  <c r="CJ140" i="2"/>
  <c r="CQ140" i="2"/>
  <c r="CP154" i="2"/>
  <c r="CU154" i="2" s="1"/>
  <c r="CI154" i="2"/>
  <c r="CJ155" i="2"/>
  <c r="CQ155" i="2"/>
  <c r="CI164" i="2"/>
  <c r="CP164" i="2"/>
  <c r="CJ84" i="2"/>
  <c r="CQ84" i="2"/>
  <c r="BE90" i="2"/>
  <c r="CS92" i="2"/>
  <c r="CK97" i="2"/>
  <c r="CK98" i="2"/>
  <c r="CR98" i="2"/>
  <c r="CP99" i="2"/>
  <c r="CI99" i="2"/>
  <c r="CQ102" i="2"/>
  <c r="CU102" i="2" s="1"/>
  <c r="CJ102" i="2"/>
  <c r="CP103" i="2"/>
  <c r="CU103" i="2" s="1"/>
  <c r="CI103" i="2"/>
  <c r="CJ107" i="2"/>
  <c r="CQ107" i="2"/>
  <c r="CT107" i="2"/>
  <c r="CL110" i="2"/>
  <c r="CS110" i="2"/>
  <c r="BG112" i="2"/>
  <c r="CR125" i="2"/>
  <c r="CM127" i="2"/>
  <c r="CT127" i="2"/>
  <c r="CI128" i="2"/>
  <c r="CP128" i="2"/>
  <c r="CM133" i="2"/>
  <c r="CT133" i="2"/>
  <c r="CR134" i="2"/>
  <c r="CK134" i="2"/>
  <c r="CN134" i="2"/>
  <c r="CI137" i="2"/>
  <c r="CP137" i="2"/>
  <c r="CU147" i="2"/>
  <c r="CT56" i="2"/>
  <c r="CS57" i="2"/>
  <c r="CT60" i="2"/>
  <c r="CT61" i="2"/>
  <c r="CS62" i="2"/>
  <c r="CS63" i="2"/>
  <c r="CT65" i="2"/>
  <c r="CT66" i="2"/>
  <c r="CM67" i="2"/>
  <c r="CS68" i="2"/>
  <c r="CM69" i="2"/>
  <c r="CM70" i="2"/>
  <c r="CS73" i="2"/>
  <c r="CS74" i="2"/>
  <c r="CS75" i="2"/>
  <c r="CS79" i="2"/>
  <c r="CS81" i="2"/>
  <c r="CS82" i="2"/>
  <c r="CS83" i="2"/>
  <c r="CS85" i="2"/>
  <c r="CT87" i="2"/>
  <c r="CT90" i="2"/>
  <c r="CT91" i="2"/>
  <c r="BE92" i="2"/>
  <c r="CT92" i="2"/>
  <c r="CS93" i="2"/>
  <c r="CS95" i="2"/>
  <c r="CS96" i="2"/>
  <c r="BG99" i="2"/>
  <c r="CT100" i="2"/>
  <c r="CS101" i="2"/>
  <c r="CS102" i="2"/>
  <c r="CS105" i="2"/>
  <c r="CS106" i="2"/>
  <c r="BG108" i="2"/>
  <c r="CS109" i="2"/>
  <c r="CM118" i="2"/>
  <c r="CK120" i="2"/>
  <c r="CR120" i="2"/>
  <c r="CK124" i="2"/>
  <c r="CR124" i="2"/>
  <c r="CS126" i="2"/>
  <c r="CR127" i="2"/>
  <c r="CS128" i="2"/>
  <c r="CL128" i="2"/>
  <c r="CJ129" i="2"/>
  <c r="CS130" i="2"/>
  <c r="CL130" i="2"/>
  <c r="BG132" i="2"/>
  <c r="CR133" i="2"/>
  <c r="CS134" i="2"/>
  <c r="CU135" i="2"/>
  <c r="CR135" i="2"/>
  <c r="CS136" i="2"/>
  <c r="CT141" i="2"/>
  <c r="CM141" i="2"/>
  <c r="CP141" i="2"/>
  <c r="CJ143" i="2"/>
  <c r="CQ144" i="2"/>
  <c r="CR144" i="2"/>
  <c r="CR146" i="2"/>
  <c r="CK146" i="2"/>
  <c r="CN147" i="2"/>
  <c r="F147" i="2"/>
  <c r="CR148" i="2"/>
  <c r="CK148" i="2"/>
  <c r="CP151" i="2"/>
  <c r="CI151" i="2"/>
  <c r="BD156" i="2"/>
  <c r="CL156" i="2"/>
  <c r="CS156" i="2"/>
  <c r="AB158" i="2"/>
  <c r="BG158" i="2" s="1"/>
  <c r="CR164" i="2"/>
  <c r="CK164" i="2"/>
  <c r="BD115" i="2"/>
  <c r="CM115" i="2"/>
  <c r="CJ116" i="2"/>
  <c r="BE118" i="2"/>
  <c r="CJ121" i="2"/>
  <c r="CQ121" i="2"/>
  <c r="CQ123" i="2"/>
  <c r="CJ123" i="2"/>
  <c r="F123" i="2" s="1"/>
  <c r="CJ125" i="2"/>
  <c r="CQ125" i="2"/>
  <c r="CJ131" i="2"/>
  <c r="CQ131" i="2"/>
  <c r="CI133" i="2"/>
  <c r="CR139" i="2"/>
  <c r="CU139" i="2" s="1"/>
  <c r="CK139" i="2"/>
  <c r="CS140" i="2"/>
  <c r="CU140" i="2" s="1"/>
  <c r="CL140" i="2"/>
  <c r="CJ142" i="2"/>
  <c r="CQ142" i="2"/>
  <c r="CP143" i="2"/>
  <c r="CU143" i="2" s="1"/>
  <c r="CI143" i="2"/>
  <c r="CK153" i="2"/>
  <c r="CR153" i="2"/>
  <c r="CI155" i="2"/>
  <c r="CP155" i="2"/>
  <c r="CR156" i="2"/>
  <c r="CU156" i="2" s="1"/>
  <c r="CK156" i="2"/>
  <c r="CL109" i="2"/>
  <c r="CK114" i="2"/>
  <c r="CI115" i="2"/>
  <c r="CK116" i="2"/>
  <c r="BG119" i="2"/>
  <c r="CM119" i="2"/>
  <c r="CL119" i="2"/>
  <c r="CS124" i="2"/>
  <c r="CT125" i="2"/>
  <c r="CM125" i="2"/>
  <c r="CQ126" i="2"/>
  <c r="CJ126" i="2"/>
  <c r="CS127" i="2"/>
  <c r="CM129" i="2"/>
  <c r="CT129" i="2"/>
  <c r="CR130" i="2"/>
  <c r="CI130" i="2"/>
  <c r="CP130" i="2"/>
  <c r="CU130" i="2" s="1"/>
  <c r="CT131" i="2"/>
  <c r="CM131" i="2"/>
  <c r="BD132" i="2"/>
  <c r="CS133" i="2"/>
  <c r="CS135" i="2"/>
  <c r="CS137" i="2"/>
  <c r="CL137" i="2"/>
  <c r="BG138" i="2"/>
  <c r="CS138" i="2"/>
  <c r="CT142" i="2"/>
  <c r="CM142" i="2"/>
  <c r="AA145" i="2"/>
  <c r="AB145" i="2"/>
  <c r="BG145" i="2" s="1"/>
  <c r="CI148" i="2"/>
  <c r="CP148" i="2"/>
  <c r="CR154" i="2"/>
  <c r="CK154" i="2"/>
  <c r="CS158" i="2"/>
  <c r="CL158" i="2"/>
  <c r="CQ163" i="2"/>
  <c r="CJ163" i="2"/>
  <c r="CM120" i="2"/>
  <c r="CL121" i="2"/>
  <c r="CT124" i="2"/>
  <c r="CS125" i="2"/>
  <c r="BG128" i="2"/>
  <c r="CM130" i="2"/>
  <c r="CT132" i="2"/>
  <c r="BG137" i="2"/>
  <c r="CR140" i="2"/>
  <c r="CS141" i="2"/>
  <c r="CS142" i="2"/>
  <c r="CT143" i="2"/>
  <c r="AM144" i="2"/>
  <c r="CM145" i="2"/>
  <c r="CM146" i="2"/>
  <c r="CJ147" i="2"/>
  <c r="CQ147" i="2"/>
  <c r="CM148" i="2"/>
  <c r="CJ149" i="2"/>
  <c r="CQ149" i="2"/>
  <c r="BG151" i="2"/>
  <c r="CT151" i="2"/>
  <c r="CM151" i="2"/>
  <c r="CQ151" i="2"/>
  <c r="AB152" i="2"/>
  <c r="BG152" i="2" s="1"/>
  <c r="CT153" i="2"/>
  <c r="CR155" i="2"/>
  <c r="CK155" i="2"/>
  <c r="CN156" i="2"/>
  <c r="F156" i="2" s="1"/>
  <c r="CI158" i="2"/>
  <c r="CP158" i="2"/>
  <c r="CR160" i="2"/>
  <c r="CK160" i="2"/>
  <c r="CR162" i="2"/>
  <c r="CK162" i="2"/>
  <c r="CL162" i="2"/>
  <c r="CN162" i="2" s="1"/>
  <c r="CS162" i="2"/>
  <c r="CP162" i="2"/>
  <c r="CI168" i="2"/>
  <c r="CP168" i="2"/>
  <c r="AN125" i="2"/>
  <c r="CL126" i="2"/>
  <c r="CQ127" i="2"/>
  <c r="CU127" i="2" s="1"/>
  <c r="CL127" i="2"/>
  <c r="CJ127" i="2"/>
  <c r="CM128" i="2"/>
  <c r="BG129" i="2"/>
  <c r="CS131" i="2"/>
  <c r="CQ133" i="2"/>
  <c r="CU133" i="2" s="1"/>
  <c r="CL133" i="2"/>
  <c r="CJ133" i="2"/>
  <c r="CQ134" i="2"/>
  <c r="CU134" i="2" s="1"/>
  <c r="CL134" i="2"/>
  <c r="CJ134" i="2"/>
  <c r="F134" i="2" s="1"/>
  <c r="CQ135" i="2"/>
  <c r="CL135" i="2"/>
  <c r="CJ135" i="2"/>
  <c r="CQ136" i="2"/>
  <c r="CL136" i="2"/>
  <c r="CJ136" i="2"/>
  <c r="CM137" i="2"/>
  <c r="CI140" i="2"/>
  <c r="CM140" i="2"/>
  <c r="CJ141" i="2"/>
  <c r="CP144" i="2"/>
  <c r="CJ144" i="2"/>
  <c r="CN144" i="2" s="1"/>
  <c r="CT145" i="2"/>
  <c r="CT146" i="2"/>
  <c r="CT148" i="2"/>
  <c r="CT150" i="2"/>
  <c r="CP153" i="2"/>
  <c r="CU153" i="2" s="1"/>
  <c r="CI153" i="2"/>
  <c r="CQ153" i="2"/>
  <c r="CJ153" i="2"/>
  <c r="CM155" i="2"/>
  <c r="CT155" i="2"/>
  <c r="CP157" i="2"/>
  <c r="CI157" i="2"/>
  <c r="CT157" i="2"/>
  <c r="CM157" i="2"/>
  <c r="AA159" i="2"/>
  <c r="AB159" i="2" s="1"/>
  <c r="BG159" i="2" s="1"/>
  <c r="CL159" i="2"/>
  <c r="CS159" i="2"/>
  <c r="CP159" i="2"/>
  <c r="CT161" i="2"/>
  <c r="CM161" i="2"/>
  <c r="CR163" i="2"/>
  <c r="CK163" i="2"/>
  <c r="CT156" i="2"/>
  <c r="CS157" i="2"/>
  <c r="CQ160" i="2"/>
  <c r="CS161" i="2"/>
  <c r="CT164" i="2"/>
  <c r="CI173" i="2"/>
  <c r="CP173" i="2"/>
  <c r="BE186" i="2"/>
  <c r="R186" i="2"/>
  <c r="BG186" i="2"/>
  <c r="BG199" i="2"/>
  <c r="BE199" i="2"/>
  <c r="BE203" i="2"/>
  <c r="R203" i="2"/>
  <c r="BG203" i="2"/>
  <c r="CI172" i="2"/>
  <c r="CP172" i="2"/>
  <c r="CU172" i="2" s="1"/>
  <c r="CM174" i="2"/>
  <c r="CT174" i="2"/>
  <c r="CI175" i="2"/>
  <c r="CP175" i="2"/>
  <c r="AA158" i="2"/>
  <c r="CU160" i="2"/>
  <c r="AA161" i="2"/>
  <c r="AB161" i="2" s="1"/>
  <c r="BG161" i="2" s="1"/>
  <c r="CJ166" i="2"/>
  <c r="CI170" i="2"/>
  <c r="CP170" i="2"/>
  <c r="CU170" i="2" s="1"/>
  <c r="CN171" i="2"/>
  <c r="CL172" i="2"/>
  <c r="CS172" i="2"/>
  <c r="CK172" i="2"/>
  <c r="CL173" i="2"/>
  <c r="CS173" i="2"/>
  <c r="CQ154" i="2"/>
  <c r="CL154" i="2"/>
  <c r="CJ154" i="2"/>
  <c r="CT158" i="2"/>
  <c r="CI163" i="2"/>
  <c r="CP163" i="2"/>
  <c r="CS164" i="2"/>
  <c r="CR165" i="2"/>
  <c r="CK165" i="2"/>
  <c r="BE165" i="2"/>
  <c r="CR167" i="2"/>
  <c r="CU167" i="2" s="1"/>
  <c r="CK167" i="2"/>
  <c r="CI167" i="2"/>
  <c r="CR168" i="2"/>
  <c r="CK168" i="2"/>
  <c r="CR171" i="2"/>
  <c r="CK171" i="2"/>
  <c r="CT163" i="2"/>
  <c r="CQ164" i="2"/>
  <c r="CQ167" i="2"/>
  <c r="CJ167" i="2"/>
  <c r="CK170" i="2"/>
  <c r="BE174" i="2"/>
  <c r="BG175" i="2"/>
  <c r="BE201" i="2"/>
  <c r="BG201" i="2"/>
  <c r="AB202" i="2"/>
  <c r="BG202" i="2" s="1"/>
  <c r="BE218" i="2"/>
  <c r="BG218" i="2"/>
  <c r="CQ165" i="2"/>
  <c r="CJ165" i="2"/>
  <c r="CM166" i="2"/>
  <c r="CL166" i="2"/>
  <c r="CQ168" i="2"/>
  <c r="CR169" i="2"/>
  <c r="BG173" i="2"/>
  <c r="BG223" i="2"/>
  <c r="BE223" i="2"/>
  <c r="BG241" i="2"/>
  <c r="BE241" i="2"/>
  <c r="CR166" i="2"/>
  <c r="CU166" i="2" s="1"/>
  <c r="CS167" i="2"/>
  <c r="CT168" i="2"/>
  <c r="F169" i="2"/>
  <c r="CP169" i="2"/>
  <c r="CU169" i="2" s="1"/>
  <c r="F171" i="2"/>
  <c r="CP171" i="2"/>
  <c r="CU171" i="2" s="1"/>
  <c r="CL174" i="2"/>
  <c r="CK174" i="2"/>
  <c r="BE202" i="2"/>
  <c r="R202" i="2"/>
  <c r="CT175" i="2"/>
  <c r="BG188" i="2"/>
  <c r="BE204" i="2"/>
  <c r="BG210" i="2"/>
  <c r="BE210" i="2"/>
  <c r="BG239" i="2"/>
  <c r="BG247" i="2"/>
  <c r="BE247" i="2"/>
  <c r="BE248" i="2"/>
  <c r="BE257" i="2"/>
  <c r="BG257" i="2"/>
  <c r="BG269" i="2"/>
  <c r="BE276" i="2"/>
  <c r="BE282" i="2"/>
  <c r="CL175" i="2"/>
  <c r="CQ175" i="2"/>
  <c r="R181" i="2"/>
  <c r="R182" i="2"/>
  <c r="R184" i="2"/>
  <c r="R187" i="2"/>
  <c r="BG207" i="2"/>
  <c r="R208" i="2"/>
  <c r="BG215" i="2"/>
  <c r="BE219" i="2"/>
  <c r="BE227" i="2"/>
  <c r="BG245" i="2"/>
  <c r="BG252" i="2"/>
  <c r="BE252" i="2"/>
  <c r="BG254" i="2"/>
  <c r="BE254" i="2"/>
  <c r="BG260" i="2"/>
  <c r="BE260" i="2"/>
  <c r="BG266" i="2"/>
  <c r="BE274" i="2"/>
  <c r="BG277" i="2"/>
  <c r="BG281" i="2"/>
  <c r="BE290" i="2"/>
  <c r="BG297" i="2"/>
  <c r="BE308" i="2"/>
  <c r="AA202" i="2"/>
  <c r="R204" i="2"/>
  <c r="R206" i="2"/>
  <c r="R207" i="2"/>
  <c r="BG222" i="2"/>
  <c r="BE222" i="2"/>
  <c r="BE268" i="2"/>
  <c r="BE297" i="2"/>
  <c r="BE303" i="2"/>
  <c r="R303" i="2"/>
  <c r="BE313" i="2"/>
  <c r="BG313" i="2"/>
  <c r="BE319" i="2"/>
  <c r="BG319" i="2"/>
  <c r="R183" i="2"/>
  <c r="BE244" i="2"/>
  <c r="BG244" i="2"/>
  <c r="BE249" i="2"/>
  <c r="BG249" i="2"/>
  <c r="BE255" i="2"/>
  <c r="BG255" i="2"/>
  <c r="BE261" i="2"/>
  <c r="BG261" i="2"/>
  <c r="BG271" i="2"/>
  <c r="BG287" i="2"/>
  <c r="BG290" i="2"/>
  <c r="BE293" i="2"/>
  <c r="BE299" i="2"/>
  <c r="R299" i="2"/>
  <c r="AA304" i="2"/>
  <c r="AB304" i="2" s="1"/>
  <c r="BG304" i="2" s="1"/>
  <c r="BE306" i="2"/>
  <c r="BG306" i="2"/>
  <c r="BG312" i="2"/>
  <c r="BE312" i="2"/>
  <c r="BG310" i="2"/>
  <c r="BG317" i="2"/>
  <c r="BG320" i="2"/>
  <c r="BE235" i="2"/>
  <c r="BG298" i="2"/>
  <c r="BE295" i="2"/>
  <c r="BG296" i="2"/>
  <c r="BG302" i="2"/>
  <c r="BE304" i="2"/>
  <c r="BE305" i="2"/>
  <c r="R324" i="2"/>
  <c r="CR159" i="2" l="1"/>
  <c r="CK159" i="2"/>
  <c r="F68" i="2"/>
  <c r="F149" i="2"/>
  <c r="CR92" i="2"/>
  <c r="CK92" i="2"/>
  <c r="CK150" i="2"/>
  <c r="CN150" i="2" s="1"/>
  <c r="CR150" i="2"/>
  <c r="CK86" i="2"/>
  <c r="CR86" i="2"/>
  <c r="F21" i="2"/>
  <c r="CN143" i="2"/>
  <c r="F143" i="2"/>
  <c r="CK99" i="2"/>
  <c r="F99" i="2" s="1"/>
  <c r="CR99" i="2"/>
  <c r="CN164" i="2"/>
  <c r="F164" i="2"/>
  <c r="CN98" i="2"/>
  <c r="F98" i="2"/>
  <c r="CR87" i="2"/>
  <c r="CK87" i="2"/>
  <c r="CN141" i="2"/>
  <c r="F141" i="2" s="1"/>
  <c r="CP104" i="2"/>
  <c r="CI104" i="2"/>
  <c r="CN93" i="2"/>
  <c r="F93" i="2" s="1"/>
  <c r="CN149" i="2"/>
  <c r="CK71" i="2"/>
  <c r="CN71" i="2" s="1"/>
  <c r="F71" i="2" s="1"/>
  <c r="CR71" i="2"/>
  <c r="CK84" i="2"/>
  <c r="CR84" i="2"/>
  <c r="CN59" i="2"/>
  <c r="F59" i="2"/>
  <c r="CI52" i="2"/>
  <c r="CP52" i="2"/>
  <c r="CR42" i="2"/>
  <c r="CK42" i="2"/>
  <c r="CP20" i="2"/>
  <c r="CI20" i="2"/>
  <c r="CI8" i="2"/>
  <c r="CP8" i="2"/>
  <c r="CU8" i="2" s="1"/>
  <c r="CN136" i="2"/>
  <c r="F136" i="2" s="1"/>
  <c r="AB327" i="2"/>
  <c r="CU13" i="2"/>
  <c r="CN22" i="2"/>
  <c r="F22" i="2" s="1"/>
  <c r="F162" i="2"/>
  <c r="CN130" i="2"/>
  <c r="F130" i="2" s="1"/>
  <c r="CR119" i="2"/>
  <c r="CK119" i="2"/>
  <c r="CN166" i="2"/>
  <c r="F166" i="2" s="1"/>
  <c r="CN10" i="2"/>
  <c r="CU38" i="2"/>
  <c r="CN28" i="2"/>
  <c r="F28" i="2"/>
  <c r="CU15" i="2"/>
  <c r="CN148" i="2"/>
  <c r="F148" i="2" s="1"/>
  <c r="CU155" i="2"/>
  <c r="CR158" i="2"/>
  <c r="CK158" i="2"/>
  <c r="CN158" i="2" s="1"/>
  <c r="CR112" i="2"/>
  <c r="CK112" i="2"/>
  <c r="CR126" i="2"/>
  <c r="CK126" i="2"/>
  <c r="CK105" i="2"/>
  <c r="CR105" i="2"/>
  <c r="CP88" i="2"/>
  <c r="CU88" i="2" s="1"/>
  <c r="CI88" i="2"/>
  <c r="CP70" i="2"/>
  <c r="CI70" i="2"/>
  <c r="CR65" i="2"/>
  <c r="CK65" i="2"/>
  <c r="CU97" i="2"/>
  <c r="CU86" i="2"/>
  <c r="F39" i="2"/>
  <c r="CN39" i="2"/>
  <c r="CN24" i="2"/>
  <c r="F24" i="2"/>
  <c r="CI31" i="2"/>
  <c r="CP31" i="2"/>
  <c r="CK10" i="2"/>
  <c r="F10" i="2" s="1"/>
  <c r="CR10" i="2"/>
  <c r="F76" i="2"/>
  <c r="CN19" i="2"/>
  <c r="F19" i="2"/>
  <c r="CN64" i="2"/>
  <c r="F64" i="2"/>
  <c r="CN55" i="2"/>
  <c r="F55" i="2"/>
  <c r="AA327" i="2"/>
  <c r="CU17" i="2"/>
  <c r="CN14" i="2"/>
  <c r="F14" i="2" s="1"/>
  <c r="F172" i="2"/>
  <c r="CN172" i="2"/>
  <c r="CU159" i="2"/>
  <c r="CR129" i="2"/>
  <c r="CK129" i="2"/>
  <c r="F160" i="2"/>
  <c r="CN160" i="2"/>
  <c r="CK122" i="2"/>
  <c r="CR122" i="2"/>
  <c r="CU122" i="2" s="1"/>
  <c r="CN116" i="2"/>
  <c r="F116" i="2" s="1"/>
  <c r="CU98" i="2"/>
  <c r="CI81" i="2"/>
  <c r="CP81" i="2"/>
  <c r="CU81" i="2" s="1"/>
  <c r="CU146" i="2"/>
  <c r="CN142" i="2"/>
  <c r="F142" i="2" s="1"/>
  <c r="CN124" i="2"/>
  <c r="F124" i="2" s="1"/>
  <c r="CU113" i="2"/>
  <c r="CI100" i="2"/>
  <c r="CP100" i="2"/>
  <c r="CU100" i="2" s="1"/>
  <c r="CK72" i="2"/>
  <c r="CN72" i="2" s="1"/>
  <c r="CR72" i="2"/>
  <c r="CK106" i="2"/>
  <c r="CR106" i="2"/>
  <c r="CN80" i="2"/>
  <c r="F80" i="2" s="1"/>
  <c r="CN125" i="2"/>
  <c r="F125" i="2"/>
  <c r="CN97" i="2"/>
  <c r="F97" i="2" s="1"/>
  <c r="CI87" i="2"/>
  <c r="CP87" i="2"/>
  <c r="CU87" i="2" s="1"/>
  <c r="CP109" i="2"/>
  <c r="CI109" i="2"/>
  <c r="CK77" i="2"/>
  <c r="CR77" i="2"/>
  <c r="CU72" i="2"/>
  <c r="CN60" i="2"/>
  <c r="F60" i="2" s="1"/>
  <c r="CU56" i="2"/>
  <c r="CU47" i="2"/>
  <c r="CN152" i="2"/>
  <c r="F152" i="2" s="1"/>
  <c r="CK152" i="2"/>
  <c r="CR152" i="2"/>
  <c r="CK151" i="2"/>
  <c r="CN151" i="2" s="1"/>
  <c r="CR151" i="2"/>
  <c r="CU151" i="2" s="1"/>
  <c r="CR128" i="2"/>
  <c r="CK128" i="2"/>
  <c r="CR138" i="2"/>
  <c r="CK138" i="2"/>
  <c r="CN139" i="2"/>
  <c r="F139" i="2" s="1"/>
  <c r="CN133" i="2"/>
  <c r="F133" i="2" s="1"/>
  <c r="CK108" i="2"/>
  <c r="CN108" i="2" s="1"/>
  <c r="CR108" i="2"/>
  <c r="CU108" i="2" s="1"/>
  <c r="CN103" i="2"/>
  <c r="F103" i="2"/>
  <c r="CN99" i="2"/>
  <c r="CP126" i="2"/>
  <c r="CI126" i="2"/>
  <c r="CN94" i="2"/>
  <c r="F94" i="2" s="1"/>
  <c r="CK89" i="2"/>
  <c r="CR89" i="2"/>
  <c r="CU150" i="2"/>
  <c r="CN146" i="2"/>
  <c r="F146" i="2" s="1"/>
  <c r="CU142" i="2"/>
  <c r="CP132" i="2"/>
  <c r="CI132" i="2"/>
  <c r="CU124" i="2"/>
  <c r="F120" i="2"/>
  <c r="CN120" i="2"/>
  <c r="CU114" i="2"/>
  <c r="CP105" i="2"/>
  <c r="CI105" i="2"/>
  <c r="CP95" i="2"/>
  <c r="CU95" i="2" s="1"/>
  <c r="CI95" i="2"/>
  <c r="CU91" i="2"/>
  <c r="F144" i="2"/>
  <c r="CU107" i="2"/>
  <c r="CP106" i="2"/>
  <c r="CI106" i="2"/>
  <c r="CU80" i="2"/>
  <c r="F74" i="2"/>
  <c r="CR61" i="2"/>
  <c r="CK61" i="2"/>
  <c r="CU125" i="2"/>
  <c r="F101" i="2"/>
  <c r="CN101" i="2"/>
  <c r="F96" i="2"/>
  <c r="CN79" i="2"/>
  <c r="F79" i="2" s="1"/>
  <c r="CI65" i="2"/>
  <c r="CP65" i="2"/>
  <c r="CU65" i="2" s="1"/>
  <c r="F85" i="2"/>
  <c r="CU82" i="2"/>
  <c r="CN69" i="2"/>
  <c r="F69" i="2"/>
  <c r="CU67" i="2"/>
  <c r="CN49" i="2"/>
  <c r="F49" i="2" s="1"/>
  <c r="CN44" i="2"/>
  <c r="F44" i="2" s="1"/>
  <c r="CU42" i="2"/>
  <c r="CN33" i="2"/>
  <c r="F33" i="2" s="1"/>
  <c r="CI25" i="2"/>
  <c r="CP25" i="2"/>
  <c r="CU119" i="2"/>
  <c r="CN56" i="2"/>
  <c r="F56" i="2"/>
  <c r="CN47" i="2"/>
  <c r="F47" i="2" s="1"/>
  <c r="CU45" i="2"/>
  <c r="CN43" i="2"/>
  <c r="F43" i="2"/>
  <c r="CU152" i="2"/>
  <c r="CU61" i="2"/>
  <c r="CN41" i="2"/>
  <c r="F41" i="2"/>
  <c r="F62" i="2"/>
  <c r="CN62" i="2"/>
  <c r="CU58" i="2"/>
  <c r="F50" i="2"/>
  <c r="CP46" i="2"/>
  <c r="CU46" i="2" s="1"/>
  <c r="CI46" i="2"/>
  <c r="CU30" i="2"/>
  <c r="CN18" i="2"/>
  <c r="F18" i="2" s="1"/>
  <c r="CI9" i="2"/>
  <c r="CP9" i="2"/>
  <c r="CU9" i="2" s="1"/>
  <c r="CP5" i="2"/>
  <c r="CU5" i="2" s="1"/>
  <c r="CI5" i="2"/>
  <c r="CN48" i="2"/>
  <c r="F48" i="2" s="1"/>
  <c r="CU11" i="2"/>
  <c r="CU10" i="2"/>
  <c r="CN38" i="2"/>
  <c r="F38" i="2" s="1"/>
  <c r="CN12" i="2"/>
  <c r="F12" i="2" s="1"/>
  <c r="CI174" i="2"/>
  <c r="CP174" i="2"/>
  <c r="CU174" i="2" s="1"/>
  <c r="CN153" i="2"/>
  <c r="F153" i="2"/>
  <c r="CU168" i="2"/>
  <c r="CI90" i="2"/>
  <c r="CP90" i="2"/>
  <c r="CU138" i="2"/>
  <c r="CN102" i="2"/>
  <c r="F102" i="2" s="1"/>
  <c r="CR90" i="2"/>
  <c r="CK90" i="2"/>
  <c r="CK33" i="2"/>
  <c r="CR33" i="2"/>
  <c r="CU66" i="2"/>
  <c r="CR43" i="2"/>
  <c r="CU43" i="2" s="1"/>
  <c r="CK43" i="2"/>
  <c r="CK20" i="2"/>
  <c r="CR20" i="2"/>
  <c r="F63" i="2"/>
  <c r="CN40" i="2"/>
  <c r="F40" i="2" s="1"/>
  <c r="F15" i="2"/>
  <c r="CN15" i="2"/>
  <c r="CK161" i="2"/>
  <c r="CR161" i="2"/>
  <c r="CU161" i="2" s="1"/>
  <c r="CN168" i="2"/>
  <c r="F168" i="2" s="1"/>
  <c r="CR145" i="2"/>
  <c r="CK145" i="2"/>
  <c r="CN155" i="2"/>
  <c r="F155" i="2" s="1"/>
  <c r="CI118" i="2"/>
  <c r="CP118" i="2"/>
  <c r="CU118" i="2" s="1"/>
  <c r="CI92" i="2"/>
  <c r="CP92" i="2"/>
  <c r="CU92" i="2" s="1"/>
  <c r="CK70" i="2"/>
  <c r="CR70" i="2"/>
  <c r="CJ53" i="2"/>
  <c r="CQ53" i="2"/>
  <c r="CU53" i="2" s="1"/>
  <c r="CI84" i="2"/>
  <c r="CP84" i="2"/>
  <c r="CU84" i="2" s="1"/>
  <c r="CK67" i="2"/>
  <c r="CN67" i="2" s="1"/>
  <c r="F67" i="2" s="1"/>
  <c r="CR67" i="2"/>
  <c r="CN82" i="2"/>
  <c r="F82" i="2"/>
  <c r="CN66" i="2"/>
  <c r="F66" i="2" s="1"/>
  <c r="CR32" i="2"/>
  <c r="CK32" i="2"/>
  <c r="CR26" i="2"/>
  <c r="CU26" i="2" s="1"/>
  <c r="CK26" i="2"/>
  <c r="CN45" i="2"/>
  <c r="F45" i="2" s="1"/>
  <c r="CI32" i="2"/>
  <c r="CP32" i="2"/>
  <c r="CU64" i="2"/>
  <c r="CP89" i="2"/>
  <c r="CI89" i="2"/>
  <c r="CR7" i="2"/>
  <c r="CU7" i="2" s="1"/>
  <c r="CK7" i="2"/>
  <c r="CN7" i="2" s="1"/>
  <c r="CP51" i="2"/>
  <c r="CU51" i="2" s="1"/>
  <c r="CI51" i="2"/>
  <c r="CN23" i="2"/>
  <c r="F23" i="2"/>
  <c r="CR173" i="2"/>
  <c r="CK173" i="2"/>
  <c r="CN173" i="2" s="1"/>
  <c r="F173" i="2" s="1"/>
  <c r="CN167" i="2"/>
  <c r="F167" i="2" s="1"/>
  <c r="CP165" i="2"/>
  <c r="CU165" i="2" s="1"/>
  <c r="CI165" i="2"/>
  <c r="CU163" i="2"/>
  <c r="CU173" i="2"/>
  <c r="CN157" i="2"/>
  <c r="F157" i="2"/>
  <c r="CN140" i="2"/>
  <c r="F140" i="2"/>
  <c r="CU162" i="2"/>
  <c r="CR175" i="2"/>
  <c r="CU175" i="2" s="1"/>
  <c r="CK175" i="2"/>
  <c r="CN175" i="2" s="1"/>
  <c r="CN163" i="2"/>
  <c r="F163" i="2" s="1"/>
  <c r="CN170" i="2"/>
  <c r="F170" i="2" s="1"/>
  <c r="CU157" i="2"/>
  <c r="CU144" i="2"/>
  <c r="CN135" i="2"/>
  <c r="F135" i="2" s="1"/>
  <c r="CN127" i="2"/>
  <c r="F127" i="2" s="1"/>
  <c r="CU158" i="2"/>
  <c r="CR137" i="2"/>
  <c r="CK137" i="2"/>
  <c r="CU148" i="2"/>
  <c r="CN115" i="2"/>
  <c r="F115" i="2"/>
  <c r="CU141" i="2"/>
  <c r="CK132" i="2"/>
  <c r="CR132" i="2"/>
  <c r="CU137" i="2"/>
  <c r="CU128" i="2"/>
  <c r="CU99" i="2"/>
  <c r="CU164" i="2"/>
  <c r="CN154" i="2"/>
  <c r="F154" i="2" s="1"/>
  <c r="CU123" i="2"/>
  <c r="CK121" i="2"/>
  <c r="CN121" i="2" s="1"/>
  <c r="CR121" i="2"/>
  <c r="F113" i="2"/>
  <c r="CP112" i="2"/>
  <c r="CU112" i="2" s="1"/>
  <c r="CI112" i="2"/>
  <c r="CI110" i="2"/>
  <c r="CP110" i="2"/>
  <c r="CU110" i="2" s="1"/>
  <c r="CU94" i="2"/>
  <c r="CP131" i="2"/>
  <c r="CU131" i="2" s="1"/>
  <c r="CI131" i="2"/>
  <c r="CU120" i="2"/>
  <c r="CN114" i="2"/>
  <c r="F114" i="2"/>
  <c r="CK104" i="2"/>
  <c r="CR104" i="2"/>
  <c r="CN91" i="2"/>
  <c r="F91" i="2" s="1"/>
  <c r="CU129" i="2"/>
  <c r="CN107" i="2"/>
  <c r="F107" i="2" s="1"/>
  <c r="CU145" i="2"/>
  <c r="CU121" i="2"/>
  <c r="CN111" i="2"/>
  <c r="F111" i="2" s="1"/>
  <c r="CU101" i="2"/>
  <c r="CN86" i="2"/>
  <c r="F86" i="2"/>
  <c r="CR109" i="2"/>
  <c r="CK109" i="2"/>
  <c r="CP77" i="2"/>
  <c r="CU77" i="2" s="1"/>
  <c r="CI77" i="2"/>
  <c r="CU71" i="2"/>
  <c r="CU69" i="2"/>
  <c r="CR52" i="2"/>
  <c r="CK52" i="2"/>
  <c r="F37" i="2"/>
  <c r="CN37" i="2"/>
  <c r="CU49" i="2"/>
  <c r="CN42" i="2"/>
  <c r="F42" i="2"/>
  <c r="CN35" i="2"/>
  <c r="F35" i="2" s="1"/>
  <c r="CU33" i="2"/>
  <c r="CR25" i="2"/>
  <c r="CK25" i="2"/>
  <c r="CN119" i="2"/>
  <c r="F119" i="2" s="1"/>
  <c r="F57" i="2"/>
  <c r="CN57" i="2"/>
  <c r="CK36" i="2"/>
  <c r="CR36" i="2"/>
  <c r="CU36" i="2" s="1"/>
  <c r="CR31" i="2"/>
  <c r="CK31" i="2"/>
  <c r="CN61" i="2"/>
  <c r="F61" i="2" s="1"/>
  <c r="F78" i="2"/>
  <c r="CU62" i="2"/>
  <c r="CU55" i="2"/>
  <c r="CN54" i="2"/>
  <c r="F54" i="2"/>
  <c r="CN30" i="2"/>
  <c r="F30" i="2"/>
  <c r="CN16" i="2"/>
  <c r="F16" i="2"/>
  <c r="CN11" i="2"/>
  <c r="F11" i="2"/>
  <c r="CN17" i="2"/>
  <c r="F17" i="2"/>
  <c r="CN13" i="2"/>
  <c r="F13" i="2" s="1"/>
  <c r="CU14" i="2"/>
  <c r="CN161" i="2"/>
  <c r="F161" i="2" s="1"/>
  <c r="CN27" i="2"/>
  <c r="F27" i="2" s="1"/>
  <c r="F128" i="2" l="1"/>
  <c r="CN53" i="2"/>
  <c r="F53" i="2"/>
  <c r="CN92" i="2"/>
  <c r="F92" i="2" s="1"/>
  <c r="CN137" i="2"/>
  <c r="F137" i="2" s="1"/>
  <c r="F174" i="2"/>
  <c r="CN174" i="2"/>
  <c r="CN5" i="2"/>
  <c r="F5" i="2"/>
  <c r="CN25" i="2"/>
  <c r="F25" i="2" s="1"/>
  <c r="CN65" i="2"/>
  <c r="F65" i="2" s="1"/>
  <c r="CU132" i="2"/>
  <c r="CU109" i="2"/>
  <c r="CN138" i="2"/>
  <c r="F138" i="2" s="1"/>
  <c r="CN31" i="2"/>
  <c r="F31" i="2"/>
  <c r="CN145" i="2"/>
  <c r="F145" i="2" s="1"/>
  <c r="CN70" i="2"/>
  <c r="F70" i="2" s="1"/>
  <c r="CU20" i="2"/>
  <c r="CN52" i="2"/>
  <c r="F52" i="2" s="1"/>
  <c r="F72" i="2"/>
  <c r="CN129" i="2"/>
  <c r="F129" i="2" s="1"/>
  <c r="CN104" i="2"/>
  <c r="F104" i="2"/>
  <c r="CN77" i="2"/>
  <c r="F77" i="2"/>
  <c r="CN110" i="2"/>
  <c r="F110" i="2"/>
  <c r="CU90" i="2"/>
  <c r="CN36" i="2"/>
  <c r="F36" i="2" s="1"/>
  <c r="CN105" i="2"/>
  <c r="F105" i="2"/>
  <c r="CN126" i="2"/>
  <c r="F126" i="2" s="1"/>
  <c r="CN81" i="2"/>
  <c r="F81" i="2"/>
  <c r="CU70" i="2"/>
  <c r="F158" i="2"/>
  <c r="F7" i="2"/>
  <c r="F175" i="2"/>
  <c r="F121" i="2"/>
  <c r="CU104" i="2"/>
  <c r="CN26" i="2"/>
  <c r="F26" i="2" s="1"/>
  <c r="CN112" i="2"/>
  <c r="F112" i="2"/>
  <c r="CN165" i="2"/>
  <c r="F165" i="2" s="1"/>
  <c r="CN51" i="2"/>
  <c r="F51" i="2" s="1"/>
  <c r="CN89" i="2"/>
  <c r="F89" i="2"/>
  <c r="CN32" i="2"/>
  <c r="F32" i="2"/>
  <c r="CN84" i="2"/>
  <c r="F84" i="2"/>
  <c r="CN118" i="2"/>
  <c r="F118" i="2"/>
  <c r="CN90" i="2"/>
  <c r="F90" i="2" s="1"/>
  <c r="F151" i="2"/>
  <c r="CN106" i="2"/>
  <c r="F106" i="2" s="1"/>
  <c r="CU105" i="2"/>
  <c r="CU126" i="2"/>
  <c r="F87" i="2"/>
  <c r="CN87" i="2"/>
  <c r="CN100" i="2"/>
  <c r="F100" i="2" s="1"/>
  <c r="F150" i="2"/>
  <c r="CN88" i="2"/>
  <c r="F88" i="2"/>
  <c r="F108" i="2"/>
  <c r="CN8" i="2"/>
  <c r="F8" i="2" s="1"/>
  <c r="CN128" i="2"/>
  <c r="CN159" i="2"/>
  <c r="F159" i="2"/>
  <c r="CN131" i="2"/>
  <c r="F131" i="2"/>
  <c r="CU32" i="2"/>
  <c r="CU89" i="2"/>
  <c r="CN9" i="2"/>
  <c r="F9" i="2"/>
  <c r="CN46" i="2"/>
  <c r="F46" i="2"/>
  <c r="CU25" i="2"/>
  <c r="CU106" i="2"/>
  <c r="CN95" i="2"/>
  <c r="F95" i="2"/>
  <c r="CN132" i="2"/>
  <c r="F132" i="2"/>
  <c r="CN109" i="2"/>
  <c r="F109" i="2"/>
  <c r="CN122" i="2"/>
  <c r="F122" i="2"/>
  <c r="CU31" i="2"/>
  <c r="F20" i="2"/>
  <c r="CN20" i="2"/>
  <c r="CU52" i="2"/>
</calcChain>
</file>

<file path=xl/sharedStrings.xml><?xml version="1.0" encoding="utf-8"?>
<sst xmlns="http://schemas.openxmlformats.org/spreadsheetml/2006/main" count="5437" uniqueCount="1705">
  <si>
    <t>Hamden</t>
  </si>
  <si>
    <t>Waterbury</t>
  </si>
  <si>
    <t>Stratford</t>
  </si>
  <si>
    <t>Hartford</t>
  </si>
  <si>
    <t>Bridgeport</t>
  </si>
  <si>
    <t>New Haven</t>
  </si>
  <si>
    <t>West Haven</t>
  </si>
  <si>
    <t>Sprague</t>
  </si>
  <si>
    <t>Stamford</t>
  </si>
  <si>
    <t>Derby</t>
  </si>
  <si>
    <t>Naugatuck</t>
  </si>
  <si>
    <t>North Canaan</t>
  </si>
  <si>
    <t>Deep River</t>
  </si>
  <si>
    <t>New London</t>
  </si>
  <si>
    <t>East Haven</t>
  </si>
  <si>
    <t>Meriden</t>
  </si>
  <si>
    <t>Brookfield</t>
  </si>
  <si>
    <t>Union</t>
  </si>
  <si>
    <t>Milford</t>
  </si>
  <si>
    <t>Waterford</t>
  </si>
  <si>
    <t>East Lyme</t>
  </si>
  <si>
    <t>Fairfield</t>
  </si>
  <si>
    <t>Cheshire</t>
  </si>
  <si>
    <t>Brooklyn</t>
  </si>
  <si>
    <t>Seymour</t>
  </si>
  <si>
    <t>Watertown</t>
  </si>
  <si>
    <t>Trumbull</t>
  </si>
  <si>
    <t>Guilford</t>
  </si>
  <si>
    <t>Wolcott</t>
  </si>
  <si>
    <t>Prospect</t>
  </si>
  <si>
    <t>West Hartford</t>
  </si>
  <si>
    <t>North Haven</t>
  </si>
  <si>
    <t>Torrington</t>
  </si>
  <si>
    <t>Old Saybrook</t>
  </si>
  <si>
    <t>East Hartford</t>
  </si>
  <si>
    <t>Monroe</t>
  </si>
  <si>
    <t>Newtown</t>
  </si>
  <si>
    <t>Danbury</t>
  </si>
  <si>
    <t>Clinton</t>
  </si>
  <si>
    <t>Thomaston</t>
  </si>
  <si>
    <t>New Britain</t>
  </si>
  <si>
    <t>Rocky Hill</t>
  </si>
  <si>
    <t>South Windsor</t>
  </si>
  <si>
    <t>Bozrah</t>
  </si>
  <si>
    <t>Shelton</t>
  </si>
  <si>
    <t>Stafford</t>
  </si>
  <si>
    <t>Marlborough</t>
  </si>
  <si>
    <t>Wethersfield</t>
  </si>
  <si>
    <t>Ridgefield</t>
  </si>
  <si>
    <t>East Hampton</t>
  </si>
  <si>
    <t>Farmington</t>
  </si>
  <si>
    <t>Ledyard</t>
  </si>
  <si>
    <t>Mansfield</t>
  </si>
  <si>
    <t>Bloomfield</t>
  </si>
  <si>
    <t>Litchfield</t>
  </si>
  <si>
    <t>Groton</t>
  </si>
  <si>
    <t>Granby</t>
  </si>
  <si>
    <t>North Stonington</t>
  </si>
  <si>
    <t>Norwalk</t>
  </si>
  <si>
    <t>Tolland</t>
  </si>
  <si>
    <t>Manchester</t>
  </si>
  <si>
    <t>Berlin</t>
  </si>
  <si>
    <t>Thompson</t>
  </si>
  <si>
    <t>North Branford</t>
  </si>
  <si>
    <t>Avon</t>
  </si>
  <si>
    <t>Wilton</t>
  </si>
  <si>
    <t>Woodbridge</t>
  </si>
  <si>
    <t>Darien</t>
  </si>
  <si>
    <t>Westbrook</t>
  </si>
  <si>
    <t>Colchester</t>
  </si>
  <si>
    <t>Bolton</t>
  </si>
  <si>
    <t>Griswold</t>
  </si>
  <si>
    <t>Middlebury</t>
  </si>
  <si>
    <t>Durham</t>
  </si>
  <si>
    <t>Middlefield</t>
  </si>
  <si>
    <t>Easton</t>
  </si>
  <si>
    <t>Scotland</t>
  </si>
  <si>
    <t>Coventry</t>
  </si>
  <si>
    <t>Norwich</t>
  </si>
  <si>
    <t>Plainville</t>
  </si>
  <si>
    <t>New Fairfield</t>
  </si>
  <si>
    <t>Beacon Falls</t>
  </si>
  <si>
    <t>East Haddam</t>
  </si>
  <si>
    <t>New Canaan</t>
  </si>
  <si>
    <t>Chaplin</t>
  </si>
  <si>
    <t>Norfolk</t>
  </si>
  <si>
    <t>Montville</t>
  </si>
  <si>
    <t>Bethany</t>
  </si>
  <si>
    <t>Simsbury</t>
  </si>
  <si>
    <t>Windham</t>
  </si>
  <si>
    <t>Ashford</t>
  </si>
  <si>
    <t>Greenwich</t>
  </si>
  <si>
    <t>Franklin</t>
  </si>
  <si>
    <t>Barkhamsted</t>
  </si>
  <si>
    <t>Southington</t>
  </si>
  <si>
    <t>Sherman</t>
  </si>
  <si>
    <t>Canaan</t>
  </si>
  <si>
    <t>Pomfret</t>
  </si>
  <si>
    <t>Woodbury</t>
  </si>
  <si>
    <t>Weston</t>
  </si>
  <si>
    <t>Southbury</t>
  </si>
  <si>
    <t>Essex</t>
  </si>
  <si>
    <t>Lisbon</t>
  </si>
  <si>
    <t>Canton</t>
  </si>
  <si>
    <t>Glastonbury</t>
  </si>
  <si>
    <t>Canterbury</t>
  </si>
  <si>
    <t>Redding</t>
  </si>
  <si>
    <t>Haddam</t>
  </si>
  <si>
    <t>Lyme</t>
  </si>
  <si>
    <t>Westport</t>
  </si>
  <si>
    <t>Middletown</t>
  </si>
  <si>
    <t>Salisbury</t>
  </si>
  <si>
    <t>New Hartford</t>
  </si>
  <si>
    <t>Willington</t>
  </si>
  <si>
    <t>Woodstock</t>
  </si>
  <si>
    <t>Morris</t>
  </si>
  <si>
    <t>Hampton</t>
  </si>
  <si>
    <t>Windsor</t>
  </si>
  <si>
    <t>Madison</t>
  </si>
  <si>
    <t>Cromwell</t>
  </si>
  <si>
    <t>Ansonia</t>
  </si>
  <si>
    <t>Colebrook</t>
  </si>
  <si>
    <t>Harwinton</t>
  </si>
  <si>
    <t>Burlington</t>
  </si>
  <si>
    <t>Orange</t>
  </si>
  <si>
    <t>Bethlehem</t>
  </si>
  <si>
    <t>Hartland</t>
  </si>
  <si>
    <t>Vernon</t>
  </si>
  <si>
    <t>Portland</t>
  </si>
  <si>
    <t>Plainfield</t>
  </si>
  <si>
    <t>Bristol</t>
  </si>
  <si>
    <t>Salem</t>
  </si>
  <si>
    <t>Hebron</t>
  </si>
  <si>
    <t>East Granby</t>
  </si>
  <si>
    <t>Wallingford</t>
  </si>
  <si>
    <t>Chester</t>
  </si>
  <si>
    <t>New Milford</t>
  </si>
  <si>
    <t>Suffield</t>
  </si>
  <si>
    <t>Voluntown</t>
  </si>
  <si>
    <t>Killingly</t>
  </si>
  <si>
    <t>Kent</t>
  </si>
  <si>
    <t>Newington</t>
  </si>
  <si>
    <t>Sharon</t>
  </si>
  <si>
    <t>Enfield</t>
  </si>
  <si>
    <t>Lebanon</t>
  </si>
  <si>
    <t>Winchester</t>
  </si>
  <si>
    <t>Columbia</t>
  </si>
  <si>
    <t>Stonington</t>
  </si>
  <si>
    <t>Preston</t>
  </si>
  <si>
    <t>Ellington</t>
  </si>
  <si>
    <t>Killingworth</t>
  </si>
  <si>
    <t>Somers</t>
  </si>
  <si>
    <t>Branford</t>
  </si>
  <si>
    <t>Bethel</t>
  </si>
  <si>
    <t>East Windsor</t>
  </si>
  <si>
    <t>Goshen</t>
  </si>
  <si>
    <t>Putnam</t>
  </si>
  <si>
    <t>Oxford</t>
  </si>
  <si>
    <t>Washington</t>
  </si>
  <si>
    <t>Roxbury</t>
  </si>
  <si>
    <t>Windsor Locks</t>
  </si>
  <si>
    <t>Sterling</t>
  </si>
  <si>
    <t>Old Lyme</t>
  </si>
  <si>
    <t>Warren</t>
  </si>
  <si>
    <t>Cornwall</t>
  </si>
  <si>
    <t>Eastford</t>
  </si>
  <si>
    <t>Bridgewater</t>
  </si>
  <si>
    <t>government_id</t>
  </si>
  <si>
    <t>entity_name</t>
  </si>
  <si>
    <t>state</t>
  </si>
  <si>
    <t>entity_type</t>
  </si>
  <si>
    <t>fiscal_year_end_date</t>
  </si>
  <si>
    <t>Score</t>
  </si>
  <si>
    <t>current_assets</t>
  </si>
  <si>
    <t>current_liabilities</t>
  </si>
  <si>
    <t>total_assets</t>
  </si>
  <si>
    <t>total_net_position</t>
  </si>
  <si>
    <t>total_unrestricted_net_position</t>
  </si>
  <si>
    <t>general_revenues</t>
  </si>
  <si>
    <t>capital_grants_and_contributions</t>
  </si>
  <si>
    <t>charges_for_services</t>
  </si>
  <si>
    <t>operating_grants_and_contributions</t>
  </si>
  <si>
    <t>total_revenues</t>
  </si>
  <si>
    <t>total_expenditures</t>
  </si>
  <si>
    <t>change_in_net_assets</t>
  </si>
  <si>
    <t>general_fund_revenues</t>
  </si>
  <si>
    <t>general_fund_expenditures</t>
  </si>
  <si>
    <t>governmental_fund_revenues</t>
  </si>
  <si>
    <t>governmental_fund_expenditures</t>
  </si>
  <si>
    <t>excess_deficiency_general_fund</t>
  </si>
  <si>
    <t>current_portion_of_long_term_debt</t>
  </si>
  <si>
    <t>net_pension_liability</t>
  </si>
  <si>
    <t>net_opeb_liability</t>
  </si>
  <si>
    <t>all_other_long_term_debt</t>
  </si>
  <si>
    <t>total_long_term_debt</t>
  </si>
  <si>
    <t>net_opeb_obligation_governmental_activities</t>
  </si>
  <si>
    <t>net_opeb_obligation_business_type_activities</t>
  </si>
  <si>
    <t>net_opeb_obligation_governmentwide</t>
  </si>
  <si>
    <t>net_opeb_obligation_component_units</t>
  </si>
  <si>
    <t>arc_opeb</t>
  </si>
  <si>
    <t>annual_opeb_cost</t>
  </si>
  <si>
    <t>actual_contribution_opeb</t>
  </si>
  <si>
    <t>actuarial_valuation_date_opeb</t>
  </si>
  <si>
    <t>actuarial_valuation_of_assets_opeb</t>
  </si>
  <si>
    <t>actuarially_accrued_liability_opeb</t>
  </si>
  <si>
    <t>unfunded_actuarially_accrued_liability_opeb</t>
  </si>
  <si>
    <t>funded_ratio_opeb</t>
  </si>
  <si>
    <t>discount_rate_opeb</t>
  </si>
  <si>
    <t>inflation_rate_opeb</t>
  </si>
  <si>
    <t>actuarially_determined_pension_contribution</t>
  </si>
  <si>
    <t>actual_pension_contribution</t>
  </si>
  <si>
    <t>gen_fund_balance_non_spendable</t>
  </si>
  <si>
    <t>gen_fund_balance_restricted</t>
  </si>
  <si>
    <t>gen_fund_balance_committed</t>
  </si>
  <si>
    <t>gen_fund_balance_assigned</t>
  </si>
  <si>
    <t>gen_fund_balance_unassigned</t>
  </si>
  <si>
    <t>general_fund_balance</t>
  </si>
  <si>
    <t>tot_gov_fund_balance_non_spendable</t>
  </si>
  <si>
    <t>tot_gov_fund_balance_restricted</t>
  </si>
  <si>
    <t>tot_gov_fund_balance_committed</t>
  </si>
  <si>
    <t>tot_gov_fund_balance_assigned</t>
  </si>
  <si>
    <t>tot_gov_fund_balance_unassigned</t>
  </si>
  <si>
    <t>total_governmental_fund_balance</t>
  </si>
  <si>
    <t>pension_adec_over_total_revenue</t>
  </si>
  <si>
    <t>general_fund_balance_over_general_fund_expenditure</t>
  </si>
  <si>
    <t>total_debt_ex_pension_liability_over_total_revenue</t>
  </si>
  <si>
    <t>Unemployment Rate Change</t>
  </si>
  <si>
    <t>Home Price Change</t>
  </si>
  <si>
    <t>WEIGHTS</t>
  </si>
  <si>
    <t>MIN</t>
  </si>
  <si>
    <t>MAX</t>
  </si>
  <si>
    <t>SLOPE</t>
  </si>
  <si>
    <t>SCORE</t>
  </si>
  <si>
    <t>A</t>
  </si>
  <si>
    <t>B</t>
  </si>
  <si>
    <t>C</t>
  </si>
  <si>
    <t>D</t>
  </si>
  <si>
    <t>E</t>
  </si>
  <si>
    <t>…</t>
  </si>
  <si>
    <t>ARC</t>
  </si>
  <si>
    <t>GF</t>
  </si>
  <si>
    <t>LTOBLIG</t>
  </si>
  <si>
    <t>UNEMP</t>
  </si>
  <si>
    <t>HOMEVAL</t>
  </si>
  <si>
    <t>BONUS</t>
  </si>
  <si>
    <t>B1</t>
  </si>
  <si>
    <t>B2</t>
  </si>
  <si>
    <t>B3</t>
  </si>
  <si>
    <t>B4</t>
  </si>
  <si>
    <t>B5</t>
  </si>
  <si>
    <t>BT</t>
  </si>
  <si>
    <t>Enfield Fire District No.1</t>
  </si>
  <si>
    <t>Connecticut</t>
  </si>
  <si>
    <t>Special Districts</t>
  </si>
  <si>
    <t>General Purpose Local Governments</t>
  </si>
  <si>
    <t>Town</t>
  </si>
  <si>
    <t>Andover</t>
  </si>
  <si>
    <t>2016 CAFR Not Available</t>
  </si>
  <si>
    <t>City</t>
  </si>
  <si>
    <t>07/01/2014</t>
  </si>
  <si>
    <t>07/01/2013</t>
  </si>
  <si>
    <t>5.56% - 4.40% over 69 years</t>
  </si>
  <si>
    <t>Initial rate of 5%</t>
  </si>
  <si>
    <t>06/30/2016</t>
  </si>
  <si>
    <t>Initial rate of 8% grading down to an ultimate inflation rate of 3% in 2023 and later</t>
  </si>
  <si>
    <t>inflation rate of 3%</t>
  </si>
  <si>
    <t>(Medical - 9.0% for 2013, decreasing 0.5% per year, to an ultimate rate of 5.0% for 2021 and later) (Dental - 5.0% per year)</t>
  </si>
  <si>
    <t>7.0% pre-retirement; 6.0% post-retirement</t>
  </si>
  <si>
    <t>None (Included in investment return)</t>
  </si>
  <si>
    <t>(4.00% pay‐as‐you‐go) (7.50% full pre‐funding)</t>
  </si>
  <si>
    <t>(Inflation rate 3.50%) Healthcare cost trend rate (8.00% initial) (5.00% final)</t>
  </si>
  <si>
    <t>(Inflation rate 4.00%) Healthcare cost trend rate (5.70% initial) (4.40% final)</t>
  </si>
  <si>
    <t>(Town - 4.0%) (Police - 5.4%) (BOE - 4.0%)</t>
  </si>
  <si>
    <t>(Initial inflation rate - 6.80%) (Ultimate inflation rate - 4.70%) (Years until ultimate inflation rate - 69)</t>
  </si>
  <si>
    <t>07/01/2015</t>
  </si>
  <si>
    <t>2.75% (General) (Initial rate of 12.70% grading down to 5% in 7 years.)</t>
  </si>
  <si>
    <t>(Board of Education - 7/01/13) (Town - 7/1/2014)</t>
  </si>
  <si>
    <t>The initial healthcare cost inflation rate, including overall inflation assumptions, is calculated at 7.1% with an ultimate healthcare cost inflation rate, including overall inflation assumptions,of 4.70%.</t>
  </si>
  <si>
    <t>0% TO 4 %</t>
  </si>
  <si>
    <t>(Police - 6.50%) (Non-Police - 6.50%)</t>
  </si>
  <si>
    <t>(Police - 3.25%) (Non-Police - 3.25%)</t>
  </si>
  <si>
    <t>(Healthcare Initial - 6.80%) (Healthcare Ultimate - 4.70%) (Inflation - 4.00%)</t>
  </si>
  <si>
    <t>(Healthcare Initial - 8.0%) (Healthcare Ultimate - 5.0%) (Inflation - 4.0%)</t>
  </si>
  <si>
    <t>Starts at 9.0% in 2012, decreases by 0.5% per year down to 5.0% in 2020 and beyond.</t>
  </si>
  <si>
    <t>Healthcare cost trend rate is 9%, decreasing by 0.5% per year with an ultimate rate of 5%.</t>
  </si>
  <si>
    <t>(8.0% intial) (4.0% final)</t>
  </si>
  <si>
    <t>(Town and Police and Fire 7.5%)  (Board of Education 4.5%)</t>
  </si>
  <si>
    <t>(Inflation - 2.5%) (Initial - 9.0%) (Ultimate - 5.0%)</t>
  </si>
  <si>
    <t>NA</t>
  </si>
  <si>
    <t>6% for 2013, to a final 5% for 2020 and later</t>
  </si>
  <si>
    <t>Initial rate of 10% in 2012 grading down 1% per year to an ultimate inflation rate of 5% for 2017 and later</t>
  </si>
  <si>
    <t>131 ,123</t>
  </si>
  <si>
    <t>9% for 2014, reducing .5% per year to a final 5% for 2022 and later</t>
  </si>
  <si>
    <t>Borough</t>
  </si>
  <si>
    <t>ultimate inflation rate is 4.0%.</t>
  </si>
  <si>
    <t>8% for 2014, reducing .5% per year to a final 5% for 2020 and later</t>
  </si>
  <si>
    <t>Initial rate of 6.7% grading down to an ultimate inflation rate of 4.6% over a 72 year period.</t>
  </si>
  <si>
    <t>4.5%, includes inflation</t>
  </si>
  <si>
    <t>Initial rate of 8.5% grading down to an ultimate inflation rate of 5% over a 10 year period</t>
  </si>
  <si>
    <t>Plymouth</t>
  </si>
  <si>
    <t>Initial rate of8.0% grading down to an ultimate inflation rate of 4.7% in 2020 and late</t>
  </si>
  <si>
    <t>Initial rate of 9% grading down to an ultimate inflation rate of 5% in 2022 and later</t>
  </si>
  <si>
    <t>(Medical inflation)8.0%, decreasing .5% per year</t>
  </si>
  <si>
    <t>Years 1-5.5%;Years 6 on 5.5%</t>
  </si>
  <si>
    <t>Initial rate of 8% grading down to an ultimate inflation rate of 4.7% in 2025 and later</t>
  </si>
  <si>
    <t>9% for 2015, decreasing 0.5% per year, to an ultimate rate of 5% for 2020 and later</t>
  </si>
  <si>
    <t>8% for 2015, reducing .5% per year to a final 5% for 2021</t>
  </si>
  <si>
    <t>6 70,878,806</t>
  </si>
  <si>
    <t>Initial rate of 9% grading down to an ultimate inflation rate of 4.7% in 2025 and later.</t>
  </si>
  <si>
    <t>(Intial - 6.8%) (Ultimate - 4.7%)</t>
  </si>
  <si>
    <t>(Medical Inflation Rate over 62 years 5.60% to 4.60%) (Dental - 3%)</t>
  </si>
  <si>
    <t>(Town - 5.33%) (Board of Education - 4.50%)</t>
  </si>
  <si>
    <t>(Initial rate of 8.0%) (ultimate inflation rate of 4.7%)</t>
  </si>
  <si>
    <t>(General - 2.5%) (Medical - 5% for each medical and dental cost)</t>
  </si>
  <si>
    <t>5.6% (4.6% over 62 years)</t>
  </si>
  <si>
    <t>(Medical Inflation rate 5.5%-4.4% over 671 years) (Dental - 3%)</t>
  </si>
  <si>
    <t>2.5% to 3%</t>
  </si>
  <si>
    <t>7 5,641,325</t>
  </si>
  <si>
    <t>(NA)</t>
  </si>
  <si>
    <t>3 ,832,554</t>
  </si>
  <si>
    <t>(Intial - 7.0%) (Ultimate -  5.0%)</t>
  </si>
  <si>
    <t>1 33,311</t>
  </si>
  <si>
    <t>State</t>
  </si>
  <si>
    <t>(SEOPEBP-5.70%)(RTHP-4.25% (includes inflation))</t>
  </si>
  <si>
    <t>(SEOPEBP-10.00% graded to 5.00% over 5 years)(RTHP-2.75%)</t>
  </si>
  <si>
    <t>School Districts and Special Districts</t>
  </si>
  <si>
    <t>Amity Regional School District No. 5</t>
  </si>
  <si>
    <t>School District</t>
  </si>
  <si>
    <t>(Intial 9.0%) (Ultimate 5.0%)</t>
  </si>
  <si>
    <t>Pomperaug Regional School District No. 15</t>
  </si>
  <si>
    <t>9.00% in 2014,decreases by .5% to 5.0% in 2022 and beyond.</t>
  </si>
  <si>
    <t>Regional School District No. 1</t>
  </si>
  <si>
    <t>Regional School District No. 16</t>
  </si>
  <si>
    <t>(Prefunding 8.5%) (Pay-as-you-go 4.5%)</t>
  </si>
  <si>
    <t>Nonnewaug Regional School District</t>
  </si>
  <si>
    <t>Regional School District No. 7</t>
  </si>
  <si>
    <t>Shepaug Regional School District No. 12</t>
  </si>
  <si>
    <t>Ct Regional School District No.11</t>
  </si>
  <si>
    <t>Initial rate of 8% grading down to an ultimate inflation rate of 3% in 2020 and later</t>
  </si>
  <si>
    <t>Regional School District No. 9</t>
  </si>
  <si>
    <t>Regional School District No. 8</t>
  </si>
  <si>
    <t>Regional School District No. 6</t>
  </si>
  <si>
    <t>None</t>
  </si>
  <si>
    <t>Regional School District No. 4</t>
  </si>
  <si>
    <t>Regional School District No. 19</t>
  </si>
  <si>
    <t>The annual health care (inflation) cost trend rate is 5.58% initially, reduced by decrements to an ultimate rate of 4.6% after 76 years; embedded within this healthcare cost trend rate an underlying inflation rate of 2.7% is used</t>
  </si>
  <si>
    <t>Regional School District No. 18</t>
  </si>
  <si>
    <t>Healthcare inflation rate (Initial - 5.6%) (Ultimate - 4.7%)</t>
  </si>
  <si>
    <t>Regional School District No. 17</t>
  </si>
  <si>
    <t>Regional School District No. 13</t>
  </si>
  <si>
    <t>Regional School District No. 11 Central Office Co</t>
  </si>
  <si>
    <t>Regional School District No. 10</t>
  </si>
  <si>
    <t>Housing Authority Of The Town Of Windsor Locks</t>
  </si>
  <si>
    <t>Corporation For Independent Living And Subsidiaries</t>
  </si>
  <si>
    <t>Cornwall Elderly Housing Corporation</t>
  </si>
  <si>
    <t>Connecticut Housing Finance Authority</t>
  </si>
  <si>
    <t>Connecticut Health Insurance Exchange (Dba Access Health Ct)</t>
  </si>
  <si>
    <t>Connecticut Airport Authority</t>
  </si>
  <si>
    <t>Town Green Special Services District</t>
  </si>
  <si>
    <t>Trumbull Center Fire District</t>
  </si>
  <si>
    <t>Western Connecticut Tourism District</t>
  </si>
  <si>
    <t>Woodridge Lake Sewer District</t>
  </si>
  <si>
    <t>Worthington Fire District</t>
  </si>
  <si>
    <t>Windham Region Transit District</t>
  </si>
  <si>
    <t>Whfh Iii, Inc.</t>
  </si>
  <si>
    <t>Westfield Fire District</t>
  </si>
  <si>
    <t>Western Connecticut Council Of Governments</t>
  </si>
  <si>
    <t>Wesleyan Homes Of Tennessee, Inc.</t>
  </si>
  <si>
    <t>Wellmore, Inc.</t>
  </si>
  <si>
    <t>Weaver Street Tax District</t>
  </si>
  <si>
    <t>Wallingford Housing Authority</t>
  </si>
  <si>
    <t>United Social And Mental Health Services, Inc. &amp; Subsidiaries</t>
  </si>
  <si>
    <t>Uncas Health District</t>
  </si>
  <si>
    <t>Twin Haven, Inc.</t>
  </si>
  <si>
    <t>The Metropolitan District</t>
  </si>
  <si>
    <t>Clean Water Fund - Drinking Water Federal Revolving Loan Account (State Revolving Fund)</t>
  </si>
  <si>
    <t>State Education Resource Center</t>
  </si>
  <si>
    <t>Southeast Area Transit District</t>
  </si>
  <si>
    <t>Quinnipiack Valley Health District</t>
  </si>
  <si>
    <t>Simsbury Fire District</t>
  </si>
  <si>
    <t>Sixth Taxing District City Of Norwalk</t>
  </si>
  <si>
    <t>Mystic Fire</t>
  </si>
  <si>
    <t>Middletown Housing Authority</t>
  </si>
  <si>
    <t>Metropolitan</t>
  </si>
  <si>
    <t>medical inflation rate are 70 for pre-65 and 72 for post-65</t>
  </si>
  <si>
    <t>Long Hill Fire</t>
  </si>
  <si>
    <t>Leeway-Welton Housing Corporation</t>
  </si>
  <si>
    <t>Ledge Light Health</t>
  </si>
  <si>
    <t>Learn</t>
  </si>
  <si>
    <t>Lakeridge Tax</t>
  </si>
  <si>
    <t xml:space="preserve">Housing Authority Of The Town Of Windsor Locks </t>
  </si>
  <si>
    <t xml:space="preserve">Housing Authority Of The Town Of Windsor </t>
  </si>
  <si>
    <t>Housing Authority Of The Town Of Mansfield</t>
  </si>
  <si>
    <t>1 ,931,333</t>
  </si>
  <si>
    <t>Housing Authority Of The Town Of Manchester</t>
  </si>
  <si>
    <t xml:space="preserve"> Housing Authority Of The Town Of Harwinton</t>
  </si>
  <si>
    <t>Housing Authority Of The Town Of Hamden</t>
  </si>
  <si>
    <t>Housing Authority Of The Town Of Farmington</t>
  </si>
  <si>
    <t>Housing Authority Of The City Of Willimantic</t>
  </si>
  <si>
    <t>Housing Authority Of The City Of West Haven</t>
  </si>
  <si>
    <t>03-31-2016</t>
  </si>
  <si>
    <t>Housing Authority Of The City Of Stamford Dba Charter Oak Communities</t>
  </si>
  <si>
    <t>Housing Authority Of The City Of Meriden</t>
  </si>
  <si>
    <t>Housing Authority Of The City Of Derby</t>
  </si>
  <si>
    <t>($199,024)</t>
  </si>
  <si>
    <t>Housatonic Area Regional Transit</t>
  </si>
  <si>
    <t>Horses Healing Humans</t>
  </si>
  <si>
    <t>Hearth Homes Of Waterbury, Inc.</t>
  </si>
  <si>
    <t>3 4,636</t>
  </si>
  <si>
    <t>1 0,760</t>
  </si>
  <si>
    <t>1 2,201,530</t>
  </si>
  <si>
    <t>Hartford Healthcare Corporation</t>
  </si>
  <si>
    <t>Northbrook Tax</t>
  </si>
  <si>
    <t>North Thompsonville Fire</t>
  </si>
  <si>
    <t>North Central Area Agency On Aging, Inc.</t>
  </si>
  <si>
    <t>1103, 103</t>
  </si>
  <si>
    <t>Nichols Fire</t>
  </si>
  <si>
    <t>New Reach, Inc And Life Haven, Inc</t>
  </si>
  <si>
    <t xml:space="preserve">Northwestern Connecticut Transit </t>
  </si>
  <si>
    <t>Plymouth Colony Tax</t>
  </si>
  <si>
    <t>Putnam Housing Authority</t>
  </si>
  <si>
    <t>The Mattabassett</t>
  </si>
  <si>
    <t>3608193</t>
  </si>
  <si>
    <t xml:space="preserve">Third Taxing District City Of Norwalk </t>
  </si>
  <si>
    <t>Torrington Area Health</t>
  </si>
  <si>
    <t>Regional Supervision District Board Of Education</t>
  </si>
  <si>
    <t>Putnam Special Services District</t>
  </si>
  <si>
    <t>Portland Housing Authority</t>
  </si>
  <si>
    <t>Park City Communities Llc</t>
  </si>
  <si>
    <t>(7.0% intial) (5.0% Ultimate)</t>
  </si>
  <si>
    <t>Oronoque Village Tax District</t>
  </si>
  <si>
    <t>Old Mystic Fire District</t>
  </si>
  <si>
    <t>Ocean Exploration Trust Inc.</t>
  </si>
  <si>
    <t>Norwich Housing Authority</t>
  </si>
  <si>
    <t>Norwich Free Academy And Subsidiary</t>
  </si>
  <si>
    <t>Norwalk Transit District</t>
  </si>
  <si>
    <t>Norwalk Redevelopment Agency</t>
  </si>
  <si>
    <t>Northeastern Connecticut Transit District</t>
  </si>
  <si>
    <t>Northeast District Department Of Health</t>
  </si>
  <si>
    <t>North Central District Health Department</t>
  </si>
  <si>
    <t>Newtown Youth &amp; Family Services Inc</t>
  </si>
  <si>
    <t>Naugatuck Valley Council Of Governments</t>
  </si>
  <si>
    <t>Milford Transit District</t>
  </si>
  <si>
    <t>Milford Redevelopment &amp; Housing Partnership</t>
  </si>
  <si>
    <t>Middletown Transit District</t>
  </si>
  <si>
    <t>Connecticut River Area Health District</t>
  </si>
  <si>
    <t>Connecticut Fair Housing Center Inc.</t>
  </si>
  <si>
    <t>Central Regional Tourism District Inc.</t>
  </si>
  <si>
    <t>Bloomfield Center Fire District</t>
  </si>
  <si>
    <t>800 Mountain Road Tax District</t>
  </si>
  <si>
    <t>Valley Transit District</t>
  </si>
  <si>
    <t>Watertown Fire District</t>
  </si>
  <si>
    <t>Harbor Point Infrastructure Improvement District</t>
  </si>
  <si>
    <t>Greater New Haven Transit District</t>
  </si>
  <si>
    <t>Greater Hartford Transit District</t>
  </si>
  <si>
    <t>Greater Bridgeport Transit Authority</t>
  </si>
  <si>
    <t>Great Oaks Charter School-Bridgeport</t>
  </si>
  <si>
    <t>First Fire Taxation District City Of West Haven</t>
  </si>
  <si>
    <t>(5.50%, graded down to 4.40% over 9 years) (3.00%)</t>
  </si>
  <si>
    <t>Far Mill River Tax District</t>
  </si>
  <si>
    <t>Estuary Transit District</t>
  </si>
  <si>
    <t>Eighth Utilities District Of Manchester</t>
  </si>
  <si>
    <t>Edadvance (Formerly Education Connection)</t>
  </si>
  <si>
    <t>Eastern Highlands Health District</t>
  </si>
  <si>
    <t>Eastern Connecticut Regional Educational Service Center</t>
  </si>
  <si>
    <t>Eastern Connecticut Health Network, Inc.</t>
  </si>
  <si>
    <t>East Shore District Health Department</t>
  </si>
  <si>
    <t>East Hartford Housing Authority</t>
  </si>
  <si>
    <t>Day Kimball Healthcare, Inc.D/B/A Day Kimball Hospital</t>
  </si>
  <si>
    <t>Currier Woods Tax District</t>
  </si>
  <si>
    <t>Cromwell Fire District</t>
  </si>
  <si>
    <t>Child First Inc</t>
  </si>
  <si>
    <t>Capitol Region Education Council</t>
  </si>
  <si>
    <t>Bishop Wicke Health And Rehabilitation Center Inc</t>
  </si>
  <si>
    <t>09/30/2016</t>
  </si>
  <si>
    <t>Area Cooperative Educational Services</t>
  </si>
  <si>
    <t>Achievement First Rhode Island Inc</t>
  </si>
  <si>
    <t>Achievement First Bridgeport Academy Inc</t>
  </si>
  <si>
    <t>Access Senior Housing Of Franklin Inc</t>
  </si>
  <si>
    <t>Acadia Housing Inc Dba Dartmouth Village</t>
  </si>
  <si>
    <t>Hazardville Fire District</t>
  </si>
  <si>
    <t>Harvest Commons Tax District</t>
  </si>
  <si>
    <t>First Taxing District City Of Norwalk Ct</t>
  </si>
  <si>
    <t>Farmington Woods Tax District</t>
  </si>
  <si>
    <t>Housing Authority Of The City Of Bristol</t>
  </si>
  <si>
    <t>West Shore Fire District</t>
  </si>
  <si>
    <t>Woodlake Tax District</t>
  </si>
  <si>
    <t>Eastconn</t>
  </si>
  <si>
    <t>Guide</t>
  </si>
  <si>
    <t>Selected Grand Totals</t>
  </si>
  <si>
    <t>23+24+25+26</t>
  </si>
  <si>
    <t>28+29</t>
  </si>
  <si>
    <t>44 + 45 + 46 + 47 + 48</t>
  </si>
  <si>
    <t>50 + 51 + 52 + 53 + 54</t>
  </si>
  <si>
    <t>Composite ID</t>
  </si>
  <si>
    <t>Type</t>
  </si>
  <si>
    <t>RegionName</t>
  </si>
  <si>
    <t>Metro</t>
  </si>
  <si>
    <t>Change 2015-2016</t>
  </si>
  <si>
    <t>County|Fairfield|CT</t>
  </si>
  <si>
    <t>County</t>
  </si>
  <si>
    <t>CT</t>
  </si>
  <si>
    <t>County|Hartford|CT</t>
  </si>
  <si>
    <t>County|New Haven|CT</t>
  </si>
  <si>
    <t>County|New London|CT</t>
  </si>
  <si>
    <t>County|Litchfield|CT</t>
  </si>
  <si>
    <t>County|Middlesex|CT</t>
  </si>
  <si>
    <t>Middlesex</t>
  </si>
  <si>
    <t>County|Tolland|CT</t>
  </si>
  <si>
    <t>County|Windham|CT</t>
  </si>
  <si>
    <t>Worcester</t>
  </si>
  <si>
    <t>City|Bridgeport|CT</t>
  </si>
  <si>
    <t>City|New Haven|CT</t>
  </si>
  <si>
    <t>City|Hartford|CT</t>
  </si>
  <si>
    <t>City|Stamford|CT</t>
  </si>
  <si>
    <t>City|Waterbury|CT</t>
  </si>
  <si>
    <t>City|Norwalk|CT</t>
  </si>
  <si>
    <t>City|Danbury|CT</t>
  </si>
  <si>
    <t>City|New Britain|CT</t>
  </si>
  <si>
    <t>City|West Hartford|CT</t>
  </si>
  <si>
    <t>City|Hamden|CT</t>
  </si>
  <si>
    <t>City|Bristol|CT</t>
  </si>
  <si>
    <t>City|Meriden|CT</t>
  </si>
  <si>
    <t>City|Greenwich|CT</t>
  </si>
  <si>
    <t>City|Manchester|CT</t>
  </si>
  <si>
    <t>City|Fairfield|CT</t>
  </si>
  <si>
    <t>City|West Haven|CT</t>
  </si>
  <si>
    <t>City|Stratford|CT</t>
  </si>
  <si>
    <t>City|Milford|CT</t>
  </si>
  <si>
    <t>City|Middletown|CT</t>
  </si>
  <si>
    <t>City|East Hartford|CT</t>
  </si>
  <si>
    <t>City|Wallingford|CT</t>
  </si>
  <si>
    <t>City|Enfield|CT</t>
  </si>
  <si>
    <t>City|Norwich|CT</t>
  </si>
  <si>
    <t>City|Shelton|CT</t>
  </si>
  <si>
    <t>City|Torrington|CT</t>
  </si>
  <si>
    <t>City|Trumbull|CT</t>
  </si>
  <si>
    <t>City|Glastonbury|CT</t>
  </si>
  <si>
    <t>City|Newington|CT</t>
  </si>
  <si>
    <t>City|Naugatuck|CT</t>
  </si>
  <si>
    <t>City|Cheshire|CT</t>
  </si>
  <si>
    <t>City|Southington|CT</t>
  </si>
  <si>
    <t>City|East Haven|CT</t>
  </si>
  <si>
    <t>City|Branford|CT</t>
  </si>
  <si>
    <t>City|Vernon Rockville|CT</t>
  </si>
  <si>
    <t>Vernon Rockville</t>
  </si>
  <si>
    <t>City|Windsor|CT</t>
  </si>
  <si>
    <t>City|Wethersfield|CT</t>
  </si>
  <si>
    <t>City|New London|CT</t>
  </si>
  <si>
    <t>City|South Windsor|CT</t>
  </si>
  <si>
    <t>City|North Haven|CT</t>
  </si>
  <si>
    <t>City|Westport|CT</t>
  </si>
  <si>
    <t>City|Town of Ridgefield|CT</t>
  </si>
  <si>
    <t>Town of Ridgefield</t>
  </si>
  <si>
    <t>City|Town of Mansfield|CT</t>
  </si>
  <si>
    <t>Town of Mansfield</t>
  </si>
  <si>
    <t>City|Guilford|CT</t>
  </si>
  <si>
    <t>City|Town of New Milford|CT</t>
  </si>
  <si>
    <t>Town of New Milford</t>
  </si>
  <si>
    <t>City|New Canaan|CT</t>
  </si>
  <si>
    <t>City|Bloomfield|CT</t>
  </si>
  <si>
    <t>City|Monroe|CT</t>
  </si>
  <si>
    <t>City|Darien|CT</t>
  </si>
  <si>
    <t>City|Ansonia|CT</t>
  </si>
  <si>
    <t>City|Town of Bethel|CT</t>
  </si>
  <si>
    <t>Town of Bethel</t>
  </si>
  <si>
    <t>City|Southbury|CT</t>
  </si>
  <si>
    <t>City|Rocky Hill|CT</t>
  </si>
  <si>
    <t>City|Wilton|CT</t>
  </si>
  <si>
    <t>City|Town of Groton|CT</t>
  </si>
  <si>
    <t>Town of Groton</t>
  </si>
  <si>
    <t>City|Plainville|CT</t>
  </si>
  <si>
    <t>City|Berlin|CT</t>
  </si>
  <si>
    <t>City|Willimantic|CT</t>
  </si>
  <si>
    <t>Willimantic</t>
  </si>
  <si>
    <t>City|Wolcott|CT</t>
  </si>
  <si>
    <t>City|Brookfield|CT</t>
  </si>
  <si>
    <t>City|Newtown|CT</t>
  </si>
  <si>
    <t>City|Madison|CT</t>
  </si>
  <si>
    <t>City|Town of Colchester|CT</t>
  </si>
  <si>
    <t>Town of Colchester</t>
  </si>
  <si>
    <t>City|Suffield|CT</t>
  </si>
  <si>
    <t>City|Avon|CT</t>
  </si>
  <si>
    <t>City|Ellington|CT</t>
  </si>
  <si>
    <t>City|Tolland|CT</t>
  </si>
  <si>
    <t>City|Montville|CT</t>
  </si>
  <si>
    <t>City|Killingly|CT</t>
  </si>
  <si>
    <t>City|Farmington|CT</t>
  </si>
  <si>
    <t>City|Orange|CT</t>
  </si>
  <si>
    <t>City|New Fairfield|CT</t>
  </si>
  <si>
    <t>City|Watertown|CT</t>
  </si>
  <si>
    <t>City|Seymour|CT</t>
  </si>
  <si>
    <t>City|Cromwell|CT</t>
  </si>
  <si>
    <t>City|Oxford|CT</t>
  </si>
  <si>
    <t>City|Plainfield|CT</t>
  </si>
  <si>
    <t>City|Simsbury|CT</t>
  </si>
  <si>
    <t>City|Windsor Locks|CT</t>
  </si>
  <si>
    <t>City|Coventry|CT</t>
  </si>
  <si>
    <t>City|Derby|CT</t>
  </si>
  <si>
    <t>City|Waterford|CT</t>
  </si>
  <si>
    <t>City|Somers|CT</t>
  </si>
  <si>
    <t>City|Weston|CT</t>
  </si>
  <si>
    <t>City|Clinton|CT</t>
  </si>
  <si>
    <t>City|Town of East Hampton|CT</t>
  </si>
  <si>
    <t>Town of East Hampton</t>
  </si>
  <si>
    <t>City|Woodbury|CT</t>
  </si>
  <si>
    <t>City|Sandy Hook|CT</t>
  </si>
  <si>
    <t>Sandy Hook</t>
  </si>
  <si>
    <t>City|Putnam|CT</t>
  </si>
  <si>
    <t>City|Prospect|CT</t>
  </si>
  <si>
    <t>City|Burlington|CT</t>
  </si>
  <si>
    <t>City|Woodbridge|CT</t>
  </si>
  <si>
    <t>City|Conning Towers-Nautilus Park|CT</t>
  </si>
  <si>
    <t>Conning Towers-Nautilus Park</t>
  </si>
  <si>
    <t>City|Griswold|CT</t>
  </si>
  <si>
    <t>City|Town of Litchfield|CT</t>
  </si>
  <si>
    <t>Town of Litchfield</t>
  </si>
  <si>
    <t>City|Brooklyn|CT</t>
  </si>
  <si>
    <t>City|Old Saybrook|CT</t>
  </si>
  <si>
    <t>City|Old Lyme|CT</t>
  </si>
  <si>
    <t>City|Middlebury|CT</t>
  </si>
  <si>
    <t>City|Easton|CT</t>
  </si>
  <si>
    <t>City|Town of Portland|CT</t>
  </si>
  <si>
    <t>Town of Portland</t>
  </si>
  <si>
    <t>City|North Branford|CT</t>
  </si>
  <si>
    <t>City|Durham|CT</t>
  </si>
  <si>
    <t>City|Lebanon|CT</t>
  </si>
  <si>
    <t>City|Granby|CT</t>
  </si>
  <si>
    <t>City|East Lyme|CT</t>
  </si>
  <si>
    <t>City|Woodstock|CT</t>
  </si>
  <si>
    <t>City|Niantic|CT</t>
  </si>
  <si>
    <t>Niantic</t>
  </si>
  <si>
    <t>City|Winsted|CT</t>
  </si>
  <si>
    <t>Winsted</t>
  </si>
  <si>
    <t>City|East Haddam|CT</t>
  </si>
  <si>
    <t>City|Essex|CT</t>
  </si>
  <si>
    <t>City|Ledyard|CT</t>
  </si>
  <si>
    <t>City|Canton|CT</t>
  </si>
  <si>
    <t>City|Marlborough|CT</t>
  </si>
  <si>
    <t>City|Windham|CT</t>
  </si>
  <si>
    <t>City|Beacon Falls|CT</t>
  </si>
  <si>
    <t>City|Willington|CT</t>
  </si>
  <si>
    <t>City|Redding|CT</t>
  </si>
  <si>
    <t>City|Westbrook|CT</t>
  </si>
  <si>
    <t>City|Harwinton|CT</t>
  </si>
  <si>
    <t>City|Bethany|CT</t>
  </si>
  <si>
    <t>City|New Hartford|CT</t>
  </si>
  <si>
    <t>City|Broad Brook|CT</t>
  </si>
  <si>
    <t>Broad Brook</t>
  </si>
  <si>
    <t>City|Columbia|CT</t>
  </si>
  <si>
    <t>City|Thomaston|CT</t>
  </si>
  <si>
    <t>City|North Stonington|CT</t>
  </si>
  <si>
    <t>City|Hebron|CT</t>
  </si>
  <si>
    <t>City|Canterbury|CT</t>
  </si>
  <si>
    <t>City|Bolton|CT</t>
  </si>
  <si>
    <t>City|Preston|CT</t>
  </si>
  <si>
    <t>City|Deep River|CT</t>
  </si>
  <si>
    <t>City|Killingworth|CT</t>
  </si>
  <si>
    <t>City|Canaan|CT</t>
  </si>
  <si>
    <t>City|Stafford Springs|CT</t>
  </si>
  <si>
    <t>Stafford Springs</t>
  </si>
  <si>
    <t>City|Lisbon|CT</t>
  </si>
  <si>
    <t>City|East Windsor|CT</t>
  </si>
  <si>
    <t>City|Ashford|CT</t>
  </si>
  <si>
    <t>City|Town of Stonington|CT</t>
  </si>
  <si>
    <t>Town of Stonington</t>
  </si>
  <si>
    <t>City|East Granby|CT</t>
  </si>
  <si>
    <t>City|Winchester|CT</t>
  </si>
  <si>
    <t>City|Salem|CT</t>
  </si>
  <si>
    <t>City|Long Hill|CT</t>
  </si>
  <si>
    <t>Long Hill</t>
  </si>
  <si>
    <t>City|Chester|CT</t>
  </si>
  <si>
    <t>City|Higganum|CT</t>
  </si>
  <si>
    <t>Higganum</t>
  </si>
  <si>
    <t>City|Sherman|CT</t>
  </si>
  <si>
    <t>City|Bethlehem|CT</t>
  </si>
  <si>
    <t>City|Thompson|CT</t>
  </si>
  <si>
    <t>City|Oxoboxo River|CT</t>
  </si>
  <si>
    <t>Oxoboxo River</t>
  </si>
  <si>
    <t>City|Andover|CT</t>
  </si>
  <si>
    <t>City|Sprague|CT</t>
  </si>
  <si>
    <t>City|Old Mystic|CT</t>
  </si>
  <si>
    <t>Old Mystic</t>
  </si>
  <si>
    <t>City|Barkhamsted|CT</t>
  </si>
  <si>
    <t>City|Danielson|CT</t>
  </si>
  <si>
    <t>Danielson</t>
  </si>
  <si>
    <t>City|Hampton|CT</t>
  </si>
  <si>
    <t>City|Moosup|CT</t>
  </si>
  <si>
    <t>Moosup</t>
  </si>
  <si>
    <t>City|Voluntown|CT</t>
  </si>
  <si>
    <t>City|Sterling|CT</t>
  </si>
  <si>
    <t>City|Goshen|CT</t>
  </si>
  <si>
    <t>City|Lyme|CT</t>
  </si>
  <si>
    <t>City|Middlefield|CT</t>
  </si>
  <si>
    <t>City|Hartland|CT</t>
  </si>
  <si>
    <t>City|Morris|CT</t>
  </si>
  <si>
    <t>City|Roxbury|CT</t>
  </si>
  <si>
    <t>City|Sharon|CT</t>
  </si>
  <si>
    <t>City|Franklin|CT</t>
  </si>
  <si>
    <t>City|South Windham|CT</t>
  </si>
  <si>
    <t>South Windham</t>
  </si>
  <si>
    <t>City|North Granby|CT</t>
  </si>
  <si>
    <t>North Granby</t>
  </si>
  <si>
    <t>City|Bridgewater|CT</t>
  </si>
  <si>
    <t>City|Noank|CT</t>
  </si>
  <si>
    <t>Noank</t>
  </si>
  <si>
    <t>City|Bozrah|CT</t>
  </si>
  <si>
    <t>City|Haddam|CT</t>
  </si>
  <si>
    <t>City|Salisbury|CT</t>
  </si>
  <si>
    <t>City|Eastford|CT</t>
  </si>
  <si>
    <t>City|Norfolk|CT</t>
  </si>
  <si>
    <t>City|Warren|CT</t>
  </si>
  <si>
    <t>City|Kent|CT</t>
  </si>
  <si>
    <t>City|Chaplin|CT</t>
  </si>
  <si>
    <t>City|South Coventry|CT</t>
  </si>
  <si>
    <t>South Coventry</t>
  </si>
  <si>
    <t>City|Woodmont|CT</t>
  </si>
  <si>
    <t>Woodmont</t>
  </si>
  <si>
    <t>City|Washington|CT</t>
  </si>
  <si>
    <t>City|Plymouth|CT</t>
  </si>
  <si>
    <t>City|New Preston|CT</t>
  </si>
  <si>
    <t>New Preston</t>
  </si>
  <si>
    <t>City|Colebrook|CT</t>
  </si>
  <si>
    <t>City|Groton Long Point|CT</t>
  </si>
  <si>
    <t>Groton Long Point</t>
  </si>
  <si>
    <t>Metro|Hartford|CT</t>
  </si>
  <si>
    <t>Metro|Stamford|CT</t>
  </si>
  <si>
    <t>Metro|New Haven|CT</t>
  </si>
  <si>
    <t>Metro|New London|CT</t>
  </si>
  <si>
    <t>Metro|Torrington|CT</t>
  </si>
  <si>
    <t>Town name</t>
  </si>
  <si>
    <t xml:space="preserve">Year Established </t>
  </si>
  <si>
    <t xml:space="preserve">Parent Town </t>
  </si>
  <si>
    <t>History of incorporation</t>
  </si>
  <si>
    <t>Coventry, Hebron</t>
  </si>
  <si>
    <t>May 18, 1848; taken from Hebron and Coventry</t>
  </si>
  <si>
    <t>April, 1889; taken from Derby</t>
  </si>
  <si>
    <t>—-</t>
  </si>
  <si>
    <t>Oct., 1714</t>
  </si>
  <si>
    <t>May, 1830; taken from Farmington</t>
  </si>
  <si>
    <t>Oct., 1779</t>
  </si>
  <si>
    <t>Bethany, Seymour, Oxford, Naugatuck</t>
  </si>
  <si>
    <t>June, 1871, taken from Bethany, Oxford, Seymour and Naugatuck</t>
  </si>
  <si>
    <t>Farmington, Wethersfield, Middletown</t>
  </si>
  <si>
    <t>May, 1785; taken from Farmington, Wethersfield and Middletown</t>
  </si>
  <si>
    <t>May, 1832; taken from Woodbridge</t>
  </si>
  <si>
    <t>May, 1855; taken from Danbury</t>
  </si>
  <si>
    <t>May, 1787; taken from Woodbury, and known as “North Purchase.”</t>
  </si>
  <si>
    <t>Windsor, Farmington, Simsbury</t>
  </si>
  <si>
    <t>May, 1835; taken from Windsor</t>
  </si>
  <si>
    <t>Oct., 1720</t>
  </si>
  <si>
    <t>May, 1786; taken from Norwich</t>
  </si>
  <si>
    <t>Named, 1653; settled 1639~1644 under New Haven jurisdiction; named 1653; set off from New Haven 1685</t>
  </si>
  <si>
    <t>Stratford, Fairfield</t>
  </si>
  <si>
    <t>May, 1821; taken from Stratford and Fairfield; city inc., May, 1836; town and city consolidated, 1836</t>
  </si>
  <si>
    <t>May, 1856; taken from New Milford</t>
  </si>
  <si>
    <t>May, 1785; taken from Farmington. Town and city co-extensive, 1911</t>
  </si>
  <si>
    <t>Danbury, New Milford, Newtown</t>
  </si>
  <si>
    <t>May, 1788; taken from Danbury, New Milford and Newtown</t>
  </si>
  <si>
    <t>Pomfret, Canterbury</t>
  </si>
  <si>
    <t>May, 1786; taken from Pomfret and Canterbury</t>
  </si>
  <si>
    <t>May, 1806; taken from Bristol</t>
  </si>
  <si>
    <t>Oct., 1739</t>
  </si>
  <si>
    <t>Oct., 1703; taken from Plainfield</t>
  </si>
  <si>
    <t>May, 1806; taken from Simsbury</t>
  </si>
  <si>
    <t>Windham, Hampton, Mansfield</t>
  </si>
  <si>
    <t>1822; taken from Windham, Mansfield and Hampton</t>
  </si>
  <si>
    <t>May, 1780; taken from Wallingford</t>
  </si>
  <si>
    <t>Saybrook</t>
  </si>
  <si>
    <t>May, 1836; taken from Saybrook, now Chester</t>
  </si>
  <si>
    <t>May, 1838; taken from Killingworth</t>
  </si>
  <si>
    <t>1698; named, Oct., 1699</t>
  </si>
  <si>
    <t>May, 1804; taken from Lebanon</t>
  </si>
  <si>
    <t>May, 1740</t>
  </si>
  <si>
    <t>May, 1712</t>
  </si>
  <si>
    <t>May, 1851; taken from Middletown</t>
  </si>
  <si>
    <t>Settled, 1685; named, Oct., 1687, Inc., town, May, 1702; city, 1889. Town and city consolidated, Jan. 1, 1965</t>
  </si>
  <si>
    <t>May, 1820; taken from Stamford</t>
  </si>
  <si>
    <t>Settled, 1635 as Saybrook; united with Connecticut, Dec., 1644; name changed to Deep River, July 1, 1947</t>
  </si>
  <si>
    <t>Named, May, 1675. Town inc., May 13, 1775. City inc., June 7, 1893. Town and city consolidated, June 7, 1893</t>
  </si>
  <si>
    <t>Settled, 1699; named, May 1704; Inc., Oct. 1708</t>
  </si>
  <si>
    <t>Granby, Windsor Locks</t>
  </si>
  <si>
    <t>June, 1858; taken from Granby and Windsor Locks</t>
  </si>
  <si>
    <t>May, 1734; taken from Haddam</t>
  </si>
  <si>
    <t>Inc., as Chatham, Oct., 1767; taken from Middletown</t>
  </si>
  <si>
    <t>Oct., 1783; taken from Hartford</t>
  </si>
  <si>
    <t>May, 1785; taken from New Haven</t>
  </si>
  <si>
    <t>Lyme, Waterford</t>
  </si>
  <si>
    <t>May, 1839; taken from Lyme and Waterford</t>
  </si>
  <si>
    <t>May, 1768; taken from Windsor</t>
  </si>
  <si>
    <t>May, 1847; taken from Ashford</t>
  </si>
  <si>
    <t>May, 1845; taken from Weston</t>
  </si>
  <si>
    <t>May, 1786; taken from East Windsor</t>
  </si>
  <si>
    <t>Named and inc., by Massachusetts, 1683; annexed to Conn., May, 1749</t>
  </si>
  <si>
    <t>Sept. 13, 1852, as Old Saybrook; taken from Saybrook. Name changed, July 8, 1854 to Essex</t>
  </si>
  <si>
    <t>Settled, 1639; named 1645; included in Connecticut Colony, May, 1685</t>
  </si>
  <si>
    <t>Inc. and named, Dec., 1645. The Town of Farmington, Borough of Unionville and Borough of Farmington were consolidated in 1947</t>
  </si>
  <si>
    <t>May, 1693; taken from Wethersfield</t>
  </si>
  <si>
    <t>Oct., 1786; taken from Simsbury</t>
  </si>
  <si>
    <t>Settled, 1640, submitted to Connecticut, Oct. 6, 1656</t>
  </si>
  <si>
    <t>Oct., 1815; taken from Preston</t>
  </si>
  <si>
    <t>May 10, 1705; taken from New London</t>
  </si>
  <si>
    <t>Settled, 1639; named, July 6, 1643</t>
  </si>
  <si>
    <t>Oct. 8, 1668</t>
  </si>
  <si>
    <t>May, 1786; taken from New Haven</t>
  </si>
  <si>
    <t>Windham, Pomfret, Brooklyn, Canterbury,</t>
  </si>
  <si>
    <t>Oct., 1786; taken from Windham, Pomfret, Brooklyn, Canterbury and Mansfield</t>
  </si>
  <si>
    <t>Settled in 1635; inc., 1784; city inc., May, 1784. Town and city consolidated, April, 1896</t>
  </si>
  <si>
    <t>May, 1761</t>
  </si>
  <si>
    <t>Oct., 1737</t>
  </si>
  <si>
    <t>May 26, 1708</t>
  </si>
  <si>
    <t>May, 1708</t>
  </si>
  <si>
    <t>Named, May, 1667</t>
  </si>
  <si>
    <t>Oct., 1700</t>
  </si>
  <si>
    <t>June, 1836; taken from Groton</t>
  </si>
  <si>
    <t>May, 1719</t>
  </si>
  <si>
    <t>Named, May, 1667; set off from Saybrook, now Deep River, in 1665</t>
  </si>
  <si>
    <t>May, 1826, taken from Guilford</t>
  </si>
  <si>
    <t>May, 1823; taken from East Hartford</t>
  </si>
  <si>
    <t>Oct., 1702; taken from Windham</t>
  </si>
  <si>
    <t>Colchester, Glastonbury, Hebron</t>
  </si>
  <si>
    <t>Oct., 1803; taken from Colchester, Glastonbury and Hebron</t>
  </si>
  <si>
    <t>May, 1806; taken from Wallingford. City inc., May, 1867. Town and city consolidated, Jan. 1, 1922</t>
  </si>
  <si>
    <t>Waterbury, Woodbury, Southbury</t>
  </si>
  <si>
    <t>Oct., 1807; taken from Waterbury, Woodbury and Southbury</t>
  </si>
  <si>
    <t>June, 1866; taken from Middletown</t>
  </si>
  <si>
    <t>Town inc., Sept. 11, 1651, named, Nov. 1653; city inc., 1784, town and city consolidated, 1923</t>
  </si>
  <si>
    <t>Settled in 1639, under New Haven; named, Nov. 24, 1640; united with Connecticut Colony, 1664. Inc. as a city, June 15, 1959. Town and city consolidated, 1959</t>
  </si>
  <si>
    <t>Huntington</t>
  </si>
  <si>
    <t>May, 1823; taken from Huntington (now Shelton)</t>
  </si>
  <si>
    <t>Oct. 12, 1786; taken from New London</t>
  </si>
  <si>
    <t>June, 1859; taken from Litchfield</t>
  </si>
  <si>
    <t>Waterbury, Bethany, Oxford</t>
  </si>
  <si>
    <t>May, 1844; taken from Waterbury, Bethany and Oxford. Borough and town consolidated, 1895</t>
  </si>
  <si>
    <t>May, 1850; taken from Berlin. City inc., 1871. Town and City consolidated, April, 1905</t>
  </si>
  <si>
    <t>Norwalk, Stamford</t>
  </si>
  <si>
    <t>May, 1801; taken from Norwalk and Stamford</t>
  </si>
  <si>
    <t>May 1740</t>
  </si>
  <si>
    <t>Oct., 1738</t>
  </si>
  <si>
    <t>Settled, April, 1638; named, Aug., 1640; Inc., 1784; town and city consolidated, Nov., 1895</t>
  </si>
  <si>
    <t>Settled, 1646; named, March 11, 1658. Inc., Jan., 1784. Town and city are co-extensive</t>
  </si>
  <si>
    <t>Oct., 1712</t>
  </si>
  <si>
    <t>July 10, 1871; taken from Wethersfield</t>
  </si>
  <si>
    <t>Oct., 1711</t>
  </si>
  <si>
    <t>Oct., 1758</t>
  </si>
  <si>
    <t>May, 1831; taken from Branford</t>
  </si>
  <si>
    <t>May, 1858; taken from Canaan</t>
  </si>
  <si>
    <t>Oct., 1786; taken from New Haven</t>
  </si>
  <si>
    <t>May, 1807; taken from Stonington</t>
  </si>
  <si>
    <t>Sept. 11, 1651. Town and city consolidated, Oct., 1913</t>
  </si>
  <si>
    <t>Settled, 1659; accepted as legal township, May, 1662; city inc., May, 1784; town and city consolidated, Jan. 1, 1952</t>
  </si>
  <si>
    <t>off from Saybrook, February 13, 1665; Inc., May, 1855, as South Lyme; taken from Lyme; name changed in 1857</t>
  </si>
  <si>
    <t>Old Saybrook (i.e., the modern Essex)</t>
  </si>
  <si>
    <t>July 8, 1854</t>
  </si>
  <si>
    <t>Milford, New Haven</t>
  </si>
  <si>
    <t>May, 1822, taken from Milford and New Haven</t>
  </si>
  <si>
    <t>Derby, Southbury</t>
  </si>
  <si>
    <t>Oct., 1798; taken from Derby and Southbury</t>
  </si>
  <si>
    <t>as Quinabaug, May, 1699; named Plainfield, Oct., 1700</t>
  </si>
  <si>
    <t>July, 1869; taken from Farmington</t>
  </si>
  <si>
    <t>May, 1795; taken from Watertown</t>
  </si>
  <si>
    <t>Named and inc., May, 1713</t>
  </si>
  <si>
    <t>Chatham</t>
  </si>
  <si>
    <t>May, 1841; taken from Chatham</t>
  </si>
  <si>
    <t>Oct., 1687</t>
  </si>
  <si>
    <t>Cheshire, Waterbury</t>
  </si>
  <si>
    <t>May, 1827; taken from Cheshire and Waterbury</t>
  </si>
  <si>
    <t>Thompson, Pomfret, Killingly</t>
  </si>
  <si>
    <t>Town inc., May, 1855; taken from Thompson, Pomfret and Killingly. City inc., Jan., 1895. Town and city consolidated, Nov. 8, 1983. The city is a Special Service Dist.</t>
  </si>
  <si>
    <t>May, 1767; taken from Fairfield</t>
  </si>
  <si>
    <t>Settled, 1708; inc., Oct., 1709; town and borough consolidated, May 11, 1921</t>
  </si>
  <si>
    <t>May, 1843; taken from Wethersfield</t>
  </si>
  <si>
    <t>Oct., 1796; taken from Woodbury</t>
  </si>
  <si>
    <t>Colchester, Lyme, Montville</t>
  </si>
  <si>
    <t>May 5, 1819; taken from Colchester, Lyme and Montville</t>
  </si>
  <si>
    <t>Oct., 1741</t>
  </si>
  <si>
    <t>May, 1857; taken from Windham</t>
  </si>
  <si>
    <t>May, 1850; taken from Derby</t>
  </si>
  <si>
    <t>Jan., 1789; taken from Stratford; city inc., 1915; town and city of Shelton, co-extensive</t>
  </si>
  <si>
    <t>Oct., 1802; taken from New Fairfield</t>
  </si>
  <si>
    <t>Named, May, 1670</t>
  </si>
  <si>
    <t>Named, July, 1734; annexed to Connecticut, May, 1749</t>
  </si>
  <si>
    <t>May, 1845; taken from East Windsor</t>
  </si>
  <si>
    <t>May, 1787; taken from Woodbury</t>
  </si>
  <si>
    <t>Oct., 1779; taken from Farmington. Town and borough consolidated, 1947</t>
  </si>
  <si>
    <t>Lisbon, Franklin</t>
  </si>
  <si>
    <t>May, 1861; acquired from Lisbon and Franklin</t>
  </si>
  <si>
    <t>Settled, 1719</t>
  </si>
  <si>
    <t>Settled, 1641, under New Haven jurisdiction; named Town of Stamford in 1642; submitted to Connecticut, Oct., 1662; in 1893, the City of Stamford, comprising central portion of Town of Stamford, was incorporated. Henceforth, City of Stamford became a composite part of Town of Stamford, resulting in two separate governments–the Town of Stamford and City of Stamford. Town and City of Stamford were consolidated on April 15, 1949 and named City of Stamford</t>
  </si>
  <si>
    <t>May 4, 1794; taken from Voluntown</t>
  </si>
  <si>
    <t>Settled, 1649; named, 1666</t>
  </si>
  <si>
    <t>Settled, 1639</t>
  </si>
  <si>
    <t>May, 1674, by Massachusetts; annexed to Connecticut, May, 1749</t>
  </si>
  <si>
    <t>July, 1875; taken from Plymouth</t>
  </si>
  <si>
    <t>May, 1785; taken from Killingly</t>
  </si>
  <si>
    <t>Named, May 1715. Inc., May, 1722</t>
  </si>
  <si>
    <t>Inc. as a town, Oct. 1740; inc. as a city, Oct. 1, 1923. Town and city consolidated, 1923</t>
  </si>
  <si>
    <t>Oct., 1797; taken from Stratford</t>
  </si>
  <si>
    <t>Oct., 1734</t>
  </si>
  <si>
    <t>Town inc., Oct., 1808; taken from Bolton. City of Rockville inc., Jan., 1889. Town of Vernon and City of Rockville consolidated, July 1, 1965</t>
  </si>
  <si>
    <t>May, 1721</t>
  </si>
  <si>
    <t>Named, May, 1670. Town and borough consolidated, Jan. 1, 1958</t>
  </si>
  <si>
    <t>May, 1786; taken from Kent</t>
  </si>
  <si>
    <t>Woodbury, Litchfield, Kent, New Milford</t>
  </si>
  <si>
    <t>Jan., 1779; taken from Woodbury, Litchfield, Kent and New Milford</t>
  </si>
  <si>
    <t>Town inc., May, 1686; city inc., 1853; town and city consolidated, 1902</t>
  </si>
  <si>
    <t>Oct., 1801; taken from New London</t>
  </si>
  <si>
    <t>May, 1780; taken from Waterbury</t>
  </si>
  <si>
    <t>May, 1854; taken from Hartford</t>
  </si>
  <si>
    <t>June 24, 1921; taken from Orange; inc. as a city, June 27, 1961</t>
  </si>
  <si>
    <t>May, 1840; taken from Saybrook (Deep River)</t>
  </si>
  <si>
    <t>Oct., 1787; taken from Fairfield, Inc., 1845, the town was divided and Easton was taken from Weston</t>
  </si>
  <si>
    <t>Fairfield, Norwalk, Weston</t>
  </si>
  <si>
    <t>May 28, 1835; taken from Fairfield, Norwalk and Weston</t>
  </si>
  <si>
    <t>Settled, 1634; named, 1637; inc., May, 1822</t>
  </si>
  <si>
    <t>May, 1727</t>
  </si>
  <si>
    <t>May, 1802; taken from Norwalk</t>
  </si>
  <si>
    <t>May, 1771</t>
  </si>
  <si>
    <t>Town inc., May, 1692. City of Willimantic inc., Jan. 1893. Town of Windham and City of Willimantic consolidated July 1, 1983</t>
  </si>
  <si>
    <t>Settled, Sept. 26, 1633; named, Feb., 1637</t>
  </si>
  <si>
    <t>May, 1854; taken from Windsor</t>
  </si>
  <si>
    <t>Waterbury, Southington</t>
  </si>
  <si>
    <t>May, 1796; taken from Waterbury and Southington</t>
  </si>
  <si>
    <t>New Haven, Milford</t>
  </si>
  <si>
    <t>Jan., 1784; taken from New Haven and Milford</t>
  </si>
  <si>
    <t>Named, May, 1673</t>
  </si>
  <si>
    <t>Settled, 1686; named New Roxbury; name changed, March, 1690, to Woodstock. Annexed to Conn., May, 1749</t>
  </si>
  <si>
    <t>Sum of amount_trim</t>
  </si>
  <si>
    <t>data_year</t>
  </si>
  <si>
    <t>area_name</t>
  </si>
  <si>
    <t>area</t>
  </si>
  <si>
    <t>Andover town, CT</t>
  </si>
  <si>
    <t>CS0901080000000</t>
  </si>
  <si>
    <t>Ansonia city/town, CT</t>
  </si>
  <si>
    <t>CT0901150000000</t>
  </si>
  <si>
    <t>Ashford town, CT</t>
  </si>
  <si>
    <t>CS0901430000000</t>
  </si>
  <si>
    <t>Avon town, CT</t>
  </si>
  <si>
    <t>CS0902060000000</t>
  </si>
  <si>
    <t>Barkhamsted town, CT</t>
  </si>
  <si>
    <t>CS0902760000000</t>
  </si>
  <si>
    <t>Beacon Falls town, CT</t>
  </si>
  <si>
    <t>CS0903250000000</t>
  </si>
  <si>
    <t>Berlin town, CT</t>
  </si>
  <si>
    <t>CS0904300000000</t>
  </si>
  <si>
    <t>Bethany town, CT</t>
  </si>
  <si>
    <t>CS0904580000000</t>
  </si>
  <si>
    <t>Bethel town, CT</t>
  </si>
  <si>
    <t>CS0904720000000</t>
  </si>
  <si>
    <t>Bethlehem town, CT</t>
  </si>
  <si>
    <t>CS0904930000000</t>
  </si>
  <si>
    <t>Bloomfield town, CT</t>
  </si>
  <si>
    <t>CS0905910000000</t>
  </si>
  <si>
    <t>Bolton town, CT</t>
  </si>
  <si>
    <t>CS0906260000000</t>
  </si>
  <si>
    <t>Bozrah town, CT</t>
  </si>
  <si>
    <t>CS0906820000000</t>
  </si>
  <si>
    <t>Branford town, CT</t>
  </si>
  <si>
    <t>CS0907310000000</t>
  </si>
  <si>
    <t>Bridgeport city/town, CT</t>
  </si>
  <si>
    <t>CT0908000000000</t>
  </si>
  <si>
    <t>Bridgeport-New Haven-Stamford, CT Combined NECTA</t>
  </si>
  <si>
    <t>CA0972000000000</t>
  </si>
  <si>
    <t>Bridgeport-Stamford-Norwalk, CT Metropolitan NECTA</t>
  </si>
  <si>
    <t>MT0971950000000</t>
  </si>
  <si>
    <t>Bridgewater town, CT</t>
  </si>
  <si>
    <t>CS0908210000000</t>
  </si>
  <si>
    <t>Bristol city/town, CT</t>
  </si>
  <si>
    <t>CT0908420000000</t>
  </si>
  <si>
    <t>Brookfield town, CT</t>
  </si>
  <si>
    <t>CS0908980000000</t>
  </si>
  <si>
    <t>Brooklyn town, CT</t>
  </si>
  <si>
    <t>CS0909190000000</t>
  </si>
  <si>
    <t>Burlington town, CT</t>
  </si>
  <si>
    <t>CS0910100000000</t>
  </si>
  <si>
    <t>Canaan town, CT</t>
  </si>
  <si>
    <t>CS0910940000000</t>
  </si>
  <si>
    <t>Canterbury town, CT</t>
  </si>
  <si>
    <t>CS0912130000000</t>
  </si>
  <si>
    <t>Canton town, CT</t>
  </si>
  <si>
    <t>CS0912270000000</t>
  </si>
  <si>
    <t>Chaplin town, CT</t>
  </si>
  <si>
    <t>CS0913810000000</t>
  </si>
  <si>
    <t>Cheshire town, CT</t>
  </si>
  <si>
    <t>CS0914160000000</t>
  </si>
  <si>
    <t>Chester town, CT</t>
  </si>
  <si>
    <t>CS0914300000000</t>
  </si>
  <si>
    <t>Clinton town, CT</t>
  </si>
  <si>
    <t>CS0915350000000</t>
  </si>
  <si>
    <t>Colchester town, CT</t>
  </si>
  <si>
    <t>CS0915910000000</t>
  </si>
  <si>
    <t>Colebrook town, CT</t>
  </si>
  <si>
    <t>CS0916050000000</t>
  </si>
  <si>
    <t>Columbia town, CT</t>
  </si>
  <si>
    <t>CS0916400000000</t>
  </si>
  <si>
    <t>ST0900000000000</t>
  </si>
  <si>
    <t>Cornwall town, CT</t>
  </si>
  <si>
    <t>CS0917240000000</t>
  </si>
  <si>
    <t>Coventry town, CT</t>
  </si>
  <si>
    <t>CS0917800000000</t>
  </si>
  <si>
    <t>Cromwell town, CT</t>
  </si>
  <si>
    <t>CS0918080000000</t>
  </si>
  <si>
    <t>Danbury city/town, CT</t>
  </si>
  <si>
    <t>CT0918430000000</t>
  </si>
  <si>
    <t>Danbury, CT Metropolitan NECTA</t>
  </si>
  <si>
    <t>MT0972850000000</t>
  </si>
  <si>
    <t>Darien town, CT</t>
  </si>
  <si>
    <t>CS0918850000000</t>
  </si>
  <si>
    <t>Deep River town, CT</t>
  </si>
  <si>
    <t>CS0919130000000</t>
  </si>
  <si>
    <t>Derby city/town, CT</t>
  </si>
  <si>
    <t>CT0919480000000</t>
  </si>
  <si>
    <t>Durham town, CT</t>
  </si>
  <si>
    <t>CS0920810000000</t>
  </si>
  <si>
    <t>East Granby town, CT</t>
  </si>
  <si>
    <t>CS0922070000000</t>
  </si>
  <si>
    <t>East Haddam town, CT</t>
  </si>
  <si>
    <t>CS0922280000000</t>
  </si>
  <si>
    <t>East Hampton town, CT</t>
  </si>
  <si>
    <t>CS0922490000000</t>
  </si>
  <si>
    <t>East Hartford town, CT</t>
  </si>
  <si>
    <t>CS0922630000000</t>
  </si>
  <si>
    <t>East Haven town, CT</t>
  </si>
  <si>
    <t>CS0922910000000</t>
  </si>
  <si>
    <t>East Lyme town, CT</t>
  </si>
  <si>
    <t>CS0923400000000</t>
  </si>
  <si>
    <t>East Windsor town, CT</t>
  </si>
  <si>
    <t>CS0924800000000</t>
  </si>
  <si>
    <t>Eastford town, CT</t>
  </si>
  <si>
    <t>CS0921860000000</t>
  </si>
  <si>
    <t>Easton town, CT</t>
  </si>
  <si>
    <t>CS0923890000000</t>
  </si>
  <si>
    <t>Ellington town, CT</t>
  </si>
  <si>
    <t>CS0925360000000</t>
  </si>
  <si>
    <t>Enfield town, CT</t>
  </si>
  <si>
    <t>CS0925990000000</t>
  </si>
  <si>
    <t>Essex town, CT</t>
  </si>
  <si>
    <t>CS0926270000000</t>
  </si>
  <si>
    <t>Fairfield County, CT</t>
  </si>
  <si>
    <t>CN0900100000000</t>
  </si>
  <si>
    <t>Fairfield town, CT</t>
  </si>
  <si>
    <t>CS0926620000000</t>
  </si>
  <si>
    <t>Farmington town, CT</t>
  </si>
  <si>
    <t>CS0927600000000</t>
  </si>
  <si>
    <t>Franklin town, CT</t>
  </si>
  <si>
    <t>CS0929910000000</t>
  </si>
  <si>
    <t>Glastonbury town, CT</t>
  </si>
  <si>
    <t>CS0931240000000</t>
  </si>
  <si>
    <t>Goshen town, CT</t>
  </si>
  <si>
    <t>CS0932290000000</t>
  </si>
  <si>
    <t>Granby town, CT</t>
  </si>
  <si>
    <t>CS0932640000000</t>
  </si>
  <si>
    <t>Greenwich town, CT</t>
  </si>
  <si>
    <t>CS0933620000000</t>
  </si>
  <si>
    <t>Griswold town, CT</t>
  </si>
  <si>
    <t>CS0933900000000</t>
  </si>
  <si>
    <t>Groton town, CT</t>
  </si>
  <si>
    <t>CS0934250000000</t>
  </si>
  <si>
    <t>Guilford town, CT</t>
  </si>
  <si>
    <t>CS0934950000000</t>
  </si>
  <si>
    <t>Haddam town, CT</t>
  </si>
  <si>
    <t>CS0935230000000</t>
  </si>
  <si>
    <t>Hamden town, CT</t>
  </si>
  <si>
    <t>CS0935650000000</t>
  </si>
  <si>
    <t>Hampton town, CT</t>
  </si>
  <si>
    <t>CS0936000000000</t>
  </si>
  <si>
    <t>Hampton, CT LMA</t>
  </si>
  <si>
    <t>SA0981220000000</t>
  </si>
  <si>
    <t>Hartford city/town, CT</t>
  </si>
  <si>
    <t>CT0937000000000</t>
  </si>
  <si>
    <t>Hartford County, CT</t>
  </si>
  <si>
    <t>CN0900300000000</t>
  </si>
  <si>
    <t>Hartford-West Hartford-East Hartford, CT Metropolitan NECTA</t>
  </si>
  <si>
    <t>MT0973450000000</t>
  </si>
  <si>
    <t>Hartland town, CT</t>
  </si>
  <si>
    <t>CS0937140000000</t>
  </si>
  <si>
    <t>Harwinton town, CT</t>
  </si>
  <si>
    <t>CS0937280000000</t>
  </si>
  <si>
    <t>Hebron town, CT</t>
  </si>
  <si>
    <t>CS0937910000000</t>
  </si>
  <si>
    <t>Kent town, CT</t>
  </si>
  <si>
    <t>CS0940290000000</t>
  </si>
  <si>
    <t>Killingly town, CT</t>
  </si>
  <si>
    <t>CS0940500000000</t>
  </si>
  <si>
    <t>Killingworth town, CT</t>
  </si>
  <si>
    <t>CS0940710000000</t>
  </si>
  <si>
    <t>Lebanon town, CT</t>
  </si>
  <si>
    <t>CS0942390000000</t>
  </si>
  <si>
    <t>Ledyard town, CT</t>
  </si>
  <si>
    <t>CS0942600000000</t>
  </si>
  <si>
    <t>Lisbon town, CT</t>
  </si>
  <si>
    <t>CS0943230000000</t>
  </si>
  <si>
    <t>Litchfield County, CT</t>
  </si>
  <si>
    <t>CN0900500000000</t>
  </si>
  <si>
    <t>Litchfield town, CT</t>
  </si>
  <si>
    <t>CS0943370000000</t>
  </si>
  <si>
    <t>Litchfield, CT LMA</t>
  </si>
  <si>
    <t>SA0981580000000</t>
  </si>
  <si>
    <t>Lyme town, CT</t>
  </si>
  <si>
    <t>CS0944210000000</t>
  </si>
  <si>
    <t>Madison town, CT</t>
  </si>
  <si>
    <t>CS0944560000000</t>
  </si>
  <si>
    <t>Manchester town, CT</t>
  </si>
  <si>
    <t>CS0944700000000</t>
  </si>
  <si>
    <t>Mansfield town, CT</t>
  </si>
  <si>
    <t>CS0944910000000</t>
  </si>
  <si>
    <t>Marlborough town, CT</t>
  </si>
  <si>
    <t>CS0945820000000</t>
  </si>
  <si>
    <t>Meriden city/town, CT</t>
  </si>
  <si>
    <t>CT0946450000000</t>
  </si>
  <si>
    <t>Middlebury town, CT</t>
  </si>
  <si>
    <t>CS0946940000000</t>
  </si>
  <si>
    <t>Middlefield town, CT</t>
  </si>
  <si>
    <t>CS0947080000000</t>
  </si>
  <si>
    <t>Middlesex County, CT</t>
  </si>
  <si>
    <t>CN0900700000000</t>
  </si>
  <si>
    <t>Middletown city/town, CT</t>
  </si>
  <si>
    <t>CT0947290000000</t>
  </si>
  <si>
    <t>Milford (consolidated) city/town, CT</t>
  </si>
  <si>
    <t>CT0947500000000</t>
  </si>
  <si>
    <t>Monroe town, CT</t>
  </si>
  <si>
    <t>CS0948620000000</t>
  </si>
  <si>
    <t>Montville town, CT</t>
  </si>
  <si>
    <t>CS0948900000000</t>
  </si>
  <si>
    <t>Morris town, CT</t>
  </si>
  <si>
    <t>CS0949460000000</t>
  </si>
  <si>
    <t>Naugatuck borough/town, CT</t>
  </si>
  <si>
    <t>CT0949880000000</t>
  </si>
  <si>
    <t>New Britain city/town, CT</t>
  </si>
  <si>
    <t>CT0950370000000</t>
  </si>
  <si>
    <t>New Canaan town, CT</t>
  </si>
  <si>
    <t>CS0950580000000</t>
  </si>
  <si>
    <t>New Fairfield town, CT</t>
  </si>
  <si>
    <t>CS0950860000000</t>
  </si>
  <si>
    <t>New Hartford town, CT</t>
  </si>
  <si>
    <t>CS0951350000000</t>
  </si>
  <si>
    <t>New Haven city/town, CT</t>
  </si>
  <si>
    <t>CT0952000000000</t>
  </si>
  <si>
    <t>New Haven County, CT</t>
  </si>
  <si>
    <t>CN0900900000000</t>
  </si>
  <si>
    <t>New Haven, CT Metropolitan NECTA</t>
  </si>
  <si>
    <t>MT0975700000000</t>
  </si>
  <si>
    <t>New London city/town, CT</t>
  </si>
  <si>
    <t>CT0952280000000</t>
  </si>
  <si>
    <t>New London County, CT</t>
  </si>
  <si>
    <t>CN0901100000000</t>
  </si>
  <si>
    <t>New Milford town, CT</t>
  </si>
  <si>
    <t>CS0952630000000</t>
  </si>
  <si>
    <t>Newington town, CT</t>
  </si>
  <si>
    <t>CS0952140000000</t>
  </si>
  <si>
    <t>Newtown town, CT</t>
  </si>
  <si>
    <t>CS0952980000000</t>
  </si>
  <si>
    <t>Norfolk town, CT</t>
  </si>
  <si>
    <t>CS0953470000000</t>
  </si>
  <si>
    <t>North Branford town, CT</t>
  </si>
  <si>
    <t>CS0953890000000</t>
  </si>
  <si>
    <t>North Canaan town, CT</t>
  </si>
  <si>
    <t>CS0954030000000</t>
  </si>
  <si>
    <t>North Haven town, CT</t>
  </si>
  <si>
    <t>CS0954870000000</t>
  </si>
  <si>
    <t>North Stonington town, CT</t>
  </si>
  <si>
    <t>CS0955500000000</t>
  </si>
  <si>
    <t>Norwalk city/town, CT</t>
  </si>
  <si>
    <t>CT0955990000000</t>
  </si>
  <si>
    <t>Norwich city/town, CT</t>
  </si>
  <si>
    <t>CT0956200000000</t>
  </si>
  <si>
    <t>Norwich-New London-Westerly, CT-RI Metropolitan NECTA</t>
  </si>
  <si>
    <t>MT0976450000000</t>
  </si>
  <si>
    <t>Norwich-New London-Westerly, CT-RI Metropolitan NECTA, CT part</t>
  </si>
  <si>
    <t>IM0976450000000</t>
  </si>
  <si>
    <t>Old Lyme town, CT</t>
  </si>
  <si>
    <t>CS0957040000000</t>
  </si>
  <si>
    <t>Old Saybrook town, CT</t>
  </si>
  <si>
    <t>CS0957320000000</t>
  </si>
  <si>
    <t>Orange town, CT</t>
  </si>
  <si>
    <t>CS0957600000000</t>
  </si>
  <si>
    <t>Oxford town, CT</t>
  </si>
  <si>
    <t>CS0958300000000</t>
  </si>
  <si>
    <t>Plainfield town, CT</t>
  </si>
  <si>
    <t>CS0959980000000</t>
  </si>
  <si>
    <t>Plainville town, CT</t>
  </si>
  <si>
    <t>CS0960120000000</t>
  </si>
  <si>
    <t>Plymouth town, CT</t>
  </si>
  <si>
    <t>CS0960750000000</t>
  </si>
  <si>
    <t>Pomfret town, CT</t>
  </si>
  <si>
    <t>CS0961030000000</t>
  </si>
  <si>
    <t>Portland town, CT</t>
  </si>
  <si>
    <t>CS0961800000000</t>
  </si>
  <si>
    <t>Preston town, CT</t>
  </si>
  <si>
    <t>CS0962150000000</t>
  </si>
  <si>
    <t>Prospect town, CT</t>
  </si>
  <si>
    <t>CS0962290000000</t>
  </si>
  <si>
    <t>Putnam town, CT</t>
  </si>
  <si>
    <t>CS0962710000000</t>
  </si>
  <si>
    <t>Redding town, CT</t>
  </si>
  <si>
    <t>CS0963480000000</t>
  </si>
  <si>
    <t>Ridgefield town, CT</t>
  </si>
  <si>
    <t>CS0963970000000</t>
  </si>
  <si>
    <t>Rocky Hill town, CT</t>
  </si>
  <si>
    <t>CS0965370000000</t>
  </si>
  <si>
    <t>Roxbury town, CT</t>
  </si>
  <si>
    <t>CS0965930000000</t>
  </si>
  <si>
    <t>Salem town, CT</t>
  </si>
  <si>
    <t>CS0966210000000</t>
  </si>
  <si>
    <t>Salisbury town, CT</t>
  </si>
  <si>
    <t>CS0966420000000</t>
  </si>
  <si>
    <t>Scotland town, CT</t>
  </si>
  <si>
    <t>CS0967400000000</t>
  </si>
  <si>
    <t>Seymour town, CT</t>
  </si>
  <si>
    <t>CS0967610000000</t>
  </si>
  <si>
    <t>Sharon town, CT</t>
  </si>
  <si>
    <t>CS0967960000000</t>
  </si>
  <si>
    <t>Shelton city/town, CT</t>
  </si>
  <si>
    <t>CT0968100000000</t>
  </si>
  <si>
    <t>Sherman town, CT</t>
  </si>
  <si>
    <t>CS0968310000000</t>
  </si>
  <si>
    <t>Simsbury town, CT</t>
  </si>
  <si>
    <t>CS0968940000000</t>
  </si>
  <si>
    <t>Somers town, CT</t>
  </si>
  <si>
    <t>CS0969220000000</t>
  </si>
  <si>
    <t>South Windsor town, CT</t>
  </si>
  <si>
    <t>CS0971390000000</t>
  </si>
  <si>
    <t>Southbury town, CT</t>
  </si>
  <si>
    <t>CS0969640000000</t>
  </si>
  <si>
    <t>Southington town, CT</t>
  </si>
  <si>
    <t>CS0970550000000</t>
  </si>
  <si>
    <t>Sprague town, CT</t>
  </si>
  <si>
    <t>CS0971670000000</t>
  </si>
  <si>
    <t>Springfield, MA-CT Metropolitan NECTA, CT part</t>
  </si>
  <si>
    <t>IM0978100000000</t>
  </si>
  <si>
    <t>Springfield-Hartford-West Hartford, MA-CT Combined NECTA</t>
  </si>
  <si>
    <t>CA0979000000000</t>
  </si>
  <si>
    <t>Stafford town, CT</t>
  </si>
  <si>
    <t>CS0972090000000</t>
  </si>
  <si>
    <t>Stamford city/town, CT</t>
  </si>
  <si>
    <t>CT0973000000000</t>
  </si>
  <si>
    <t>Sterling town, CT</t>
  </si>
  <si>
    <t>CS0973420000000</t>
  </si>
  <si>
    <t>Stonington town, CT</t>
  </si>
  <si>
    <t>CS0973770000000</t>
  </si>
  <si>
    <t>Stratford town, CT</t>
  </si>
  <si>
    <t>CS0974190000000</t>
  </si>
  <si>
    <t>Suffield town, CT</t>
  </si>
  <si>
    <t>CS0974540000000</t>
  </si>
  <si>
    <t>Thomaston town, CT</t>
  </si>
  <si>
    <t>CS0975730000000</t>
  </si>
  <si>
    <t>Thompson town, CT</t>
  </si>
  <si>
    <t>CS0975870000000</t>
  </si>
  <si>
    <t>Tolland County, CT</t>
  </si>
  <si>
    <t>CN0901300000000</t>
  </si>
  <si>
    <t>Tolland town, CT</t>
  </si>
  <si>
    <t>CS0976290000000</t>
  </si>
  <si>
    <t>Torrington city/town, CT</t>
  </si>
  <si>
    <t>CT0976500000000</t>
  </si>
  <si>
    <t>Torrington, CT Micropolitan NECTA</t>
  </si>
  <si>
    <t>MC0978400000000</t>
  </si>
  <si>
    <t>Trumbull town, CT</t>
  </si>
  <si>
    <t>CS0977200000000</t>
  </si>
  <si>
    <t>Union town, CT</t>
  </si>
  <si>
    <t>CS0977830000000</t>
  </si>
  <si>
    <t>Vernon town, CT</t>
  </si>
  <si>
    <t>CS0978250000000</t>
  </si>
  <si>
    <t>Voluntown town, CT</t>
  </si>
  <si>
    <t>CS0978600000000</t>
  </si>
  <si>
    <t>Wallingford town, CT</t>
  </si>
  <si>
    <t>CS0978740000000</t>
  </si>
  <si>
    <t>Warren town, CT</t>
  </si>
  <si>
    <t>CS0979510000000</t>
  </si>
  <si>
    <t>Washington town, CT</t>
  </si>
  <si>
    <t>CS0979720000000</t>
  </si>
  <si>
    <t>Waterbury city/town, CT</t>
  </si>
  <si>
    <t>CT0980000000000</t>
  </si>
  <si>
    <t>Waterbury, CT Metropolitan NECTA</t>
  </si>
  <si>
    <t>MT0978700000000</t>
  </si>
  <si>
    <t>Waterford town, CT</t>
  </si>
  <si>
    <t>CS0980280000000</t>
  </si>
  <si>
    <t>Watertown town, CT</t>
  </si>
  <si>
    <t>CS0980490000000</t>
  </si>
  <si>
    <t>West Hartford town, CT</t>
  </si>
  <si>
    <t>CS0982590000000</t>
  </si>
  <si>
    <t>West Haven city/town, CT</t>
  </si>
  <si>
    <t>CT0982800000000</t>
  </si>
  <si>
    <t>Westbrook town, CT</t>
  </si>
  <si>
    <t>CS0981680000000</t>
  </si>
  <si>
    <t>Weston town, CT</t>
  </si>
  <si>
    <t>CS0983430000000</t>
  </si>
  <si>
    <t>Westport town, CT</t>
  </si>
  <si>
    <t>CS0983500000000</t>
  </si>
  <si>
    <t>Wethersfield town, CT</t>
  </si>
  <si>
    <t>CS0984900000000</t>
  </si>
  <si>
    <t>Willington town, CT</t>
  </si>
  <si>
    <t>CS0985950000000</t>
  </si>
  <si>
    <t>Wilton town, CT</t>
  </si>
  <si>
    <t>CS0986370000000</t>
  </si>
  <si>
    <t>Winchester town, CT</t>
  </si>
  <si>
    <t>CS0986440000000</t>
  </si>
  <si>
    <t>Windham County, CT</t>
  </si>
  <si>
    <t>CN0901500000000</t>
  </si>
  <si>
    <t>Windham town, CT</t>
  </si>
  <si>
    <t>CS0986790000000</t>
  </si>
  <si>
    <t>Windsor Locks town, CT</t>
  </si>
  <si>
    <t>CS0987070000000</t>
  </si>
  <si>
    <t>Windsor town, CT</t>
  </si>
  <si>
    <t>CS0987000000000</t>
  </si>
  <si>
    <t>Wolcott town, CT</t>
  </si>
  <si>
    <t>CS0987560000000</t>
  </si>
  <si>
    <t>Woodbridge town, CT</t>
  </si>
  <si>
    <t>CS0987700000000</t>
  </si>
  <si>
    <t>Woodbury town, CT</t>
  </si>
  <si>
    <t>CS0987910000000</t>
  </si>
  <si>
    <t>Woodstock town, CT</t>
  </si>
  <si>
    <t>CS0988190000000</t>
  </si>
  <si>
    <t>Worcester, MA-CT Metropolitan NECTA, CT part</t>
  </si>
  <si>
    <t>IM0979600000000</t>
  </si>
  <si>
    <t>standardized name</t>
  </si>
  <si>
    <t>Change</t>
  </si>
  <si>
    <t>series</t>
  </si>
  <si>
    <t>data_period</t>
  </si>
  <si>
    <t>key</t>
  </si>
  <si>
    <t>amount_trim</t>
  </si>
  <si>
    <t>M13</t>
  </si>
  <si>
    <t>CA0972000000000|2015</t>
  </si>
  <si>
    <t>CA0972000000000|2016</t>
  </si>
  <si>
    <t>CA0979000000000|2015</t>
  </si>
  <si>
    <t>CA0979000000000|2016</t>
  </si>
  <si>
    <t>CN0900100000000|2015</t>
  </si>
  <si>
    <t>CN0900100000000|2016</t>
  </si>
  <si>
    <t>CN0900300000000|2015</t>
  </si>
  <si>
    <t>CN0900300000000|2016</t>
  </si>
  <si>
    <t>CN0900500000000|2015</t>
  </si>
  <si>
    <t>CN0900500000000|2016</t>
  </si>
  <si>
    <t>CN0900700000000|2015</t>
  </si>
  <si>
    <t>CN0900700000000|2016</t>
  </si>
  <si>
    <t>CN0900900000000|2015</t>
  </si>
  <si>
    <t>CN0900900000000|2016</t>
  </si>
  <si>
    <t>CN0901100000000|2015</t>
  </si>
  <si>
    <t>CN0901100000000|2016</t>
  </si>
  <si>
    <t>CN0901300000000|2015</t>
  </si>
  <si>
    <t>CN0901300000000|2016</t>
  </si>
  <si>
    <t>CN0901500000000|2015</t>
  </si>
  <si>
    <t>CN0901500000000|2016</t>
  </si>
  <si>
    <t>CS0901080000000|2015</t>
  </si>
  <si>
    <t>CS0901080000000|2016</t>
  </si>
  <si>
    <t>CS0901430000000|2015</t>
  </si>
  <si>
    <t>CS0901430000000|2016</t>
  </si>
  <si>
    <t>CS0902060000000|2015</t>
  </si>
  <si>
    <t>CS0902060000000|2016</t>
  </si>
  <si>
    <t>CS0902760000000|2015</t>
  </si>
  <si>
    <t>CS0902760000000|2016</t>
  </si>
  <si>
    <t>CS0903250000000|2015</t>
  </si>
  <si>
    <t>CS0903250000000|2016</t>
  </si>
  <si>
    <t>CS0904300000000|2015</t>
  </si>
  <si>
    <t>CS0904300000000|2016</t>
  </si>
  <si>
    <t>CS0904580000000|2015</t>
  </si>
  <si>
    <t>CS0904580000000|2016</t>
  </si>
  <si>
    <t>CS0904720000000|2015</t>
  </si>
  <si>
    <t>CS0904720000000|2016</t>
  </si>
  <si>
    <t>CS0904930000000|2015</t>
  </si>
  <si>
    <t>CS0904930000000|2016</t>
  </si>
  <si>
    <t>CS0905910000000|2015</t>
  </si>
  <si>
    <t>CS0905910000000|2016</t>
  </si>
  <si>
    <t>CS0906260000000|2015</t>
  </si>
  <si>
    <t>CS0906260000000|2016</t>
  </si>
  <si>
    <t>CS0906820000000|2015</t>
  </si>
  <si>
    <t>CS0906820000000|2016</t>
  </si>
  <si>
    <t>CS0907310000000|2015</t>
  </si>
  <si>
    <t>CS0907310000000|2016</t>
  </si>
  <si>
    <t>CS0908210000000|2015</t>
  </si>
  <si>
    <t>CS0908210000000|2016</t>
  </si>
  <si>
    <t>CS0908980000000|2015</t>
  </si>
  <si>
    <t>CS0908980000000|2016</t>
  </si>
  <si>
    <t>CS0909190000000|2015</t>
  </si>
  <si>
    <t>CS0909190000000|2016</t>
  </si>
  <si>
    <t>CS0910100000000|2015</t>
  </si>
  <si>
    <t>CS0910100000000|2016</t>
  </si>
  <si>
    <t>CS0910940000000|2015</t>
  </si>
  <si>
    <t>CS0910940000000|2016</t>
  </si>
  <si>
    <t>CS0912130000000|2015</t>
  </si>
  <si>
    <t>CS0912130000000|2016</t>
  </si>
  <si>
    <t>CS0912270000000|2015</t>
  </si>
  <si>
    <t>CS0912270000000|2016</t>
  </si>
  <si>
    <t>CS0913810000000|2015</t>
  </si>
  <si>
    <t>CS0913810000000|2016</t>
  </si>
  <si>
    <t>CS0914160000000|2015</t>
  </si>
  <si>
    <t>CS0914160000000|2016</t>
  </si>
  <si>
    <t>CS0914300000000|2015</t>
  </si>
  <si>
    <t>CS0914300000000|2016</t>
  </si>
  <si>
    <t>CS0915350000000|2015</t>
  </si>
  <si>
    <t>CS0915350000000|2016</t>
  </si>
  <si>
    <t>CS0915910000000|2015</t>
  </si>
  <si>
    <t>CS0915910000000|2016</t>
  </si>
  <si>
    <t>CS0916050000000|2015</t>
  </si>
  <si>
    <t>CS0916050000000|2016</t>
  </si>
  <si>
    <t>CS0916400000000|2015</t>
  </si>
  <si>
    <t>CS0916400000000|2016</t>
  </si>
  <si>
    <t>CS0917240000000|2015</t>
  </si>
  <si>
    <t>CS0917240000000|2016</t>
  </si>
  <si>
    <t>CS0917800000000|2015</t>
  </si>
  <si>
    <t>CS0917800000000|2016</t>
  </si>
  <si>
    <t>CS0918080000000|2015</t>
  </si>
  <si>
    <t>CS0918080000000|2016</t>
  </si>
  <si>
    <t>CS0918850000000|2015</t>
  </si>
  <si>
    <t>CS0918850000000|2016</t>
  </si>
  <si>
    <t>CS0919130000000|2015</t>
  </si>
  <si>
    <t>CS0919130000000|2016</t>
  </si>
  <si>
    <t>CS0920810000000|2015</t>
  </si>
  <si>
    <t>CS0920810000000|2016</t>
  </si>
  <si>
    <t>CS0921860000000|2015</t>
  </si>
  <si>
    <t>CS0921860000000|2016</t>
  </si>
  <si>
    <t>CS0922070000000|2015</t>
  </si>
  <si>
    <t>CS0922070000000|2016</t>
  </si>
  <si>
    <t>CS0922280000000|2015</t>
  </si>
  <si>
    <t>CS0922280000000|2016</t>
  </si>
  <si>
    <t>CS0922490000000|2015</t>
  </si>
  <si>
    <t>CS0922490000000|2016</t>
  </si>
  <si>
    <t>CS0922630000000|2015</t>
  </si>
  <si>
    <t>CS0922630000000|2016</t>
  </si>
  <si>
    <t>CS0922910000000|2015</t>
  </si>
  <si>
    <t>CS0922910000000|2016</t>
  </si>
  <si>
    <t>CS0923400000000|2015</t>
  </si>
  <si>
    <t>CS0923400000000|2016</t>
  </si>
  <si>
    <t>CS0923890000000|2015</t>
  </si>
  <si>
    <t>CS0923890000000|2016</t>
  </si>
  <si>
    <t>CS0924800000000|2015</t>
  </si>
  <si>
    <t>CS0924800000000|2016</t>
  </si>
  <si>
    <t>CS0925360000000|2015</t>
  </si>
  <si>
    <t>CS0925360000000|2016</t>
  </si>
  <si>
    <t>CS0925990000000|2015</t>
  </si>
  <si>
    <t>CS0925990000000|2016</t>
  </si>
  <si>
    <t>CS0926270000000|2015</t>
  </si>
  <si>
    <t>CS0926270000000|2016</t>
  </si>
  <si>
    <t>CS0926620000000|2015</t>
  </si>
  <si>
    <t>CS0926620000000|2016</t>
  </si>
  <si>
    <t>CS0927600000000|2015</t>
  </si>
  <si>
    <t>CS0927600000000|2016</t>
  </si>
  <si>
    <t>CS0929910000000|2015</t>
  </si>
  <si>
    <t>CS0929910000000|2016</t>
  </si>
  <si>
    <t>CS0931240000000|2015</t>
  </si>
  <si>
    <t>CS0931240000000|2016</t>
  </si>
  <si>
    <t>CS0932290000000|2015</t>
  </si>
  <si>
    <t>CS0932290000000|2016</t>
  </si>
  <si>
    <t>CS0932640000000|2015</t>
  </si>
  <si>
    <t>CS0932640000000|2016</t>
  </si>
  <si>
    <t>CS0933620000000|2015</t>
  </si>
  <si>
    <t>CS0933620000000|2016</t>
  </si>
  <si>
    <t>CS0933900000000|2015</t>
  </si>
  <si>
    <t>CS0933900000000|2016</t>
  </si>
  <si>
    <t>CS0934250000000|2015</t>
  </si>
  <si>
    <t>CS0934250000000|2016</t>
  </si>
  <si>
    <t>CS0934950000000|2015</t>
  </si>
  <si>
    <t>CS0934950000000|2016</t>
  </si>
  <si>
    <t>CS0935230000000|2015</t>
  </si>
  <si>
    <t>CS0935230000000|2016</t>
  </si>
  <si>
    <t>CS0935650000000|2015</t>
  </si>
  <si>
    <t>CS0935650000000|2016</t>
  </si>
  <si>
    <t>CS0936000000000|2015</t>
  </si>
  <si>
    <t>CS0936000000000|2016</t>
  </si>
  <si>
    <t>CS0937140000000|2015</t>
  </si>
  <si>
    <t>CS0937140000000|2016</t>
  </si>
  <si>
    <t>CS0937280000000|2015</t>
  </si>
  <si>
    <t>CS0937280000000|2016</t>
  </si>
  <si>
    <t>CS0937910000000|2015</t>
  </si>
  <si>
    <t>CS0937910000000|2016</t>
  </si>
  <si>
    <t>CS0940290000000|2015</t>
  </si>
  <si>
    <t>CS0940290000000|2016</t>
  </si>
  <si>
    <t>CS0940500000000|2015</t>
  </si>
  <si>
    <t>CS0940500000000|2016</t>
  </si>
  <si>
    <t>CS0940710000000|2015</t>
  </si>
  <si>
    <t>CS0940710000000|2016</t>
  </si>
  <si>
    <t>CS0942390000000|2015</t>
  </si>
  <si>
    <t>CS0942390000000|2016</t>
  </si>
  <si>
    <t>CS0942600000000|2015</t>
  </si>
  <si>
    <t>CS0942600000000|2016</t>
  </si>
  <si>
    <t>CS0943230000000|2015</t>
  </si>
  <si>
    <t>CS0943230000000|2016</t>
  </si>
  <si>
    <t>CS0943370000000|2015</t>
  </si>
  <si>
    <t>CS0943370000000|2016</t>
  </si>
  <si>
    <t>CS0944210000000|2015</t>
  </si>
  <si>
    <t>CS0944210000000|2016</t>
  </si>
  <si>
    <t>CS0944560000000|2015</t>
  </si>
  <si>
    <t>CS0944560000000|2016</t>
  </si>
  <si>
    <t>CS0944700000000|2015</t>
  </si>
  <si>
    <t>CS0944700000000|2016</t>
  </si>
  <si>
    <t>CS0944910000000|2015</t>
  </si>
  <si>
    <t>CS0944910000000|2016</t>
  </si>
  <si>
    <t>CS0945820000000|2015</t>
  </si>
  <si>
    <t>CS0945820000000|2016</t>
  </si>
  <si>
    <t>CS0946940000000|2015</t>
  </si>
  <si>
    <t>CS0946940000000|2016</t>
  </si>
  <si>
    <t>CS0947080000000|2015</t>
  </si>
  <si>
    <t>CS0947080000000|2016</t>
  </si>
  <si>
    <t>CS0948620000000|2015</t>
  </si>
  <si>
    <t>CS0948620000000|2016</t>
  </si>
  <si>
    <t>CS0948900000000|2015</t>
  </si>
  <si>
    <t>CS0948900000000|2016</t>
  </si>
  <si>
    <t>CS0949460000000|2015</t>
  </si>
  <si>
    <t>CS0949460000000|2016</t>
  </si>
  <si>
    <t>CS0950580000000|2015</t>
  </si>
  <si>
    <t>CS0950580000000|2016</t>
  </si>
  <si>
    <t>CS0950860000000|2015</t>
  </si>
  <si>
    <t>CS0950860000000|2016</t>
  </si>
  <si>
    <t>CS0951350000000|2015</t>
  </si>
  <si>
    <t>CS0951350000000|2016</t>
  </si>
  <si>
    <t>CS0952140000000|2015</t>
  </si>
  <si>
    <t>CS0952140000000|2016</t>
  </si>
  <si>
    <t>CS0952630000000|2015</t>
  </si>
  <si>
    <t>CS0952630000000|2016</t>
  </si>
  <si>
    <t>CS0952980000000|2015</t>
  </si>
  <si>
    <t>CS0952980000000|2016</t>
  </si>
  <si>
    <t>CS0953470000000|2015</t>
  </si>
  <si>
    <t>CS0953470000000|2016</t>
  </si>
  <si>
    <t>CS0953890000000|2015</t>
  </si>
  <si>
    <t>CS0953890000000|2016</t>
  </si>
  <si>
    <t>CS0954030000000|2015</t>
  </si>
  <si>
    <t>CS0954030000000|2016</t>
  </si>
  <si>
    <t>CS0954870000000|2015</t>
  </si>
  <si>
    <t>CS0954870000000|2016</t>
  </si>
  <si>
    <t>CS0955500000000|2015</t>
  </si>
  <si>
    <t>CS0955500000000|2016</t>
  </si>
  <si>
    <t>CS0957040000000|2015</t>
  </si>
  <si>
    <t>CS0957040000000|2016</t>
  </si>
  <si>
    <t>CS0957320000000|2015</t>
  </si>
  <si>
    <t>CS0957320000000|2016</t>
  </si>
  <si>
    <t>CS0957600000000|2015</t>
  </si>
  <si>
    <t>CS0957600000000|2016</t>
  </si>
  <si>
    <t>CS0958300000000|2015</t>
  </si>
  <si>
    <t>CS0958300000000|2016</t>
  </si>
  <si>
    <t>CS0959980000000|2015</t>
  </si>
  <si>
    <t>CS0959980000000|2016</t>
  </si>
  <si>
    <t>CS0960120000000|2015</t>
  </si>
  <si>
    <t>CS0960120000000|2016</t>
  </si>
  <si>
    <t>CS0960750000000|2015</t>
  </si>
  <si>
    <t>CS0960750000000|2016</t>
  </si>
  <si>
    <t>CS0961030000000|2015</t>
  </si>
  <si>
    <t>CS0961030000000|2016</t>
  </si>
  <si>
    <t>CS0961800000000|2015</t>
  </si>
  <si>
    <t>CS0961800000000|2016</t>
  </si>
  <si>
    <t>CS0962150000000|2015</t>
  </si>
  <si>
    <t>CS0962150000000|2016</t>
  </si>
  <si>
    <t>CS0962290000000|2015</t>
  </si>
  <si>
    <t>CS0962290000000|2016</t>
  </si>
  <si>
    <t>CS0962710000000|2015</t>
  </si>
  <si>
    <t>CS0962710000000|2016</t>
  </si>
  <si>
    <t>CS0963480000000|2015</t>
  </si>
  <si>
    <t>CS0963480000000|2016</t>
  </si>
  <si>
    <t>CS0963970000000|2015</t>
  </si>
  <si>
    <t>CS0963970000000|2016</t>
  </si>
  <si>
    <t>CS0965370000000|2015</t>
  </si>
  <si>
    <t>CS0965370000000|2016</t>
  </si>
  <si>
    <t>CS0965930000000|2015</t>
  </si>
  <si>
    <t>CS0965930000000|2016</t>
  </si>
  <si>
    <t>CS0966210000000|2015</t>
  </si>
  <si>
    <t>CS0966210000000|2016</t>
  </si>
  <si>
    <t>CS0966420000000|2015</t>
  </si>
  <si>
    <t>CS0966420000000|2016</t>
  </si>
  <si>
    <t>CS0967400000000|2015</t>
  </si>
  <si>
    <t>CS0967400000000|2016</t>
  </si>
  <si>
    <t>CS0967610000000|2015</t>
  </si>
  <si>
    <t>CS0967610000000|2016</t>
  </si>
  <si>
    <t>CS0967960000000|2015</t>
  </si>
  <si>
    <t>CS0967960000000|2016</t>
  </si>
  <si>
    <t>CS0968310000000|2015</t>
  </si>
  <si>
    <t>CS0968310000000|2016</t>
  </si>
  <si>
    <t>CS0968940000000|2015</t>
  </si>
  <si>
    <t>CS0968940000000|2016</t>
  </si>
  <si>
    <t>CS0969220000000|2015</t>
  </si>
  <si>
    <t>CS0969220000000|2016</t>
  </si>
  <si>
    <t>CS0969640000000|2015</t>
  </si>
  <si>
    <t>CS0969640000000|2016</t>
  </si>
  <si>
    <t>CS0970550000000|2015</t>
  </si>
  <si>
    <t>CS0970550000000|2016</t>
  </si>
  <si>
    <t>CS0971390000000|2015</t>
  </si>
  <si>
    <t>CS0971390000000|2016</t>
  </si>
  <si>
    <t>CS0971670000000|2015</t>
  </si>
  <si>
    <t>CS0971670000000|2016</t>
  </si>
  <si>
    <t>CS0972090000000|2015</t>
  </si>
  <si>
    <t>CS0972090000000|2016</t>
  </si>
  <si>
    <t>CS0973420000000|2015</t>
  </si>
  <si>
    <t>CS0973420000000|2016</t>
  </si>
  <si>
    <t>CS0973770000000|2015</t>
  </si>
  <si>
    <t>CS0973770000000|2016</t>
  </si>
  <si>
    <t>CS0974190000000|2015</t>
  </si>
  <si>
    <t>CS0974190000000|2016</t>
  </si>
  <si>
    <t>CS0974540000000|2015</t>
  </si>
  <si>
    <t>CS0974540000000|2016</t>
  </si>
  <si>
    <t>CS0975730000000|2015</t>
  </si>
  <si>
    <t>CS0975730000000|2016</t>
  </si>
  <si>
    <t>CS0975870000000|2015</t>
  </si>
  <si>
    <t>CS0975870000000|2016</t>
  </si>
  <si>
    <t>CS0976290000000|2015</t>
  </si>
  <si>
    <t>CS0976290000000|2016</t>
  </si>
  <si>
    <t>CS0977200000000|2015</t>
  </si>
  <si>
    <t>CS0977200000000|2016</t>
  </si>
  <si>
    <t>CS0977830000000|2015</t>
  </si>
  <si>
    <t>CS0977830000000|2016</t>
  </si>
  <si>
    <t>CS0978250000000|2015</t>
  </si>
  <si>
    <t>CS0978250000000|2016</t>
  </si>
  <si>
    <t>CS0978600000000|2015</t>
  </si>
  <si>
    <t>CS0978600000000|2016</t>
  </si>
  <si>
    <t>CS0978740000000|2015</t>
  </si>
  <si>
    <t>CS0978740000000|2016</t>
  </si>
  <si>
    <t>CS0979510000000|2015</t>
  </si>
  <si>
    <t>CS0979510000000|2016</t>
  </si>
  <si>
    <t>CS0979720000000|2015</t>
  </si>
  <si>
    <t>CS0979720000000|2016</t>
  </si>
  <si>
    <t>CS0980280000000|2015</t>
  </si>
  <si>
    <t>CS0980280000000|2016</t>
  </si>
  <si>
    <t>CS0980490000000|2015</t>
  </si>
  <si>
    <t>CS0980490000000|2016</t>
  </si>
  <si>
    <t>CS0981680000000|2015</t>
  </si>
  <si>
    <t>CS0981680000000|2016</t>
  </si>
  <si>
    <t>CS0982590000000|2015</t>
  </si>
  <si>
    <t>CS0982590000000|2016</t>
  </si>
  <si>
    <t>CS0983430000000|2015</t>
  </si>
  <si>
    <t>CS0983430000000|2016</t>
  </si>
  <si>
    <t>CS0983500000000|2015</t>
  </si>
  <si>
    <t>CS0983500000000|2016</t>
  </si>
  <si>
    <t>CS0984900000000|2015</t>
  </si>
  <si>
    <t>CS0984900000000|2016</t>
  </si>
  <si>
    <t>CS0985950000000|2015</t>
  </si>
  <si>
    <t>CS0985950000000|2016</t>
  </si>
  <si>
    <t>CS0986370000000|2015</t>
  </si>
  <si>
    <t>CS0986370000000|2016</t>
  </si>
  <si>
    <t>CS0986440000000|2015</t>
  </si>
  <si>
    <t>CS0986440000000|2016</t>
  </si>
  <si>
    <t>CS0986790000000|2015</t>
  </si>
  <si>
    <t>CS0986790000000|2016</t>
  </si>
  <si>
    <t>CS0987000000000|2015</t>
  </si>
  <si>
    <t>CS0987000000000|2016</t>
  </si>
  <si>
    <t>CS0987070000000|2015</t>
  </si>
  <si>
    <t>CS0987070000000|2016</t>
  </si>
  <si>
    <t>CS0987560000000|2015</t>
  </si>
  <si>
    <t>CS0987560000000|2016</t>
  </si>
  <si>
    <t>CS0987700000000|2015</t>
  </si>
  <si>
    <t>CS0987700000000|2016</t>
  </si>
  <si>
    <t>CS0987910000000|2015</t>
  </si>
  <si>
    <t>CS0987910000000|2016</t>
  </si>
  <si>
    <t>CS0988190000000|2015</t>
  </si>
  <si>
    <t>CS0988190000000|2016</t>
  </si>
  <si>
    <t>CT0901150000000|2015</t>
  </si>
  <si>
    <t>CT0901150000000|2016</t>
  </si>
  <si>
    <t>CT0908000000000|2015</t>
  </si>
  <si>
    <t>CT0908000000000|2016</t>
  </si>
  <si>
    <t>CT0908420000000|2015</t>
  </si>
  <si>
    <t>CT0908420000000|2016</t>
  </si>
  <si>
    <t>CT0918430000000|2015</t>
  </si>
  <si>
    <t>CT0918430000000|2016</t>
  </si>
  <si>
    <t>CT0919480000000|2015</t>
  </si>
  <si>
    <t>CT0919480000000|2016</t>
  </si>
  <si>
    <t>CT0937000000000|2015</t>
  </si>
  <si>
    <t>CT0937000000000|2016</t>
  </si>
  <si>
    <t>CT0946450000000|2015</t>
  </si>
  <si>
    <t>CT0946450000000|2016</t>
  </si>
  <si>
    <t>CT0947290000000|2015</t>
  </si>
  <si>
    <t>CT0947290000000|2016</t>
  </si>
  <si>
    <t>CT0947500000000|2015</t>
  </si>
  <si>
    <t>CT0947500000000|2016</t>
  </si>
  <si>
    <t>CT0949880000000|2015</t>
  </si>
  <si>
    <t>CT0949880000000|2016</t>
  </si>
  <si>
    <t>CT0950370000000|2015</t>
  </si>
  <si>
    <t>CT0950370000000|2016</t>
  </si>
  <si>
    <t>CT0952000000000|2015</t>
  </si>
  <si>
    <t>CT0952000000000|2016</t>
  </si>
  <si>
    <t>CT0952280000000|2015</t>
  </si>
  <si>
    <t>CT0952280000000|2016</t>
  </si>
  <si>
    <t>CT0955990000000|2015</t>
  </si>
  <si>
    <t>CT0955990000000|2016</t>
  </si>
  <si>
    <t>CT0956200000000|2015</t>
  </si>
  <si>
    <t>CT0956200000000|2016</t>
  </si>
  <si>
    <t>CT0968100000000|2015</t>
  </si>
  <si>
    <t>CT0968100000000|2016</t>
  </si>
  <si>
    <t>CT0973000000000|2015</t>
  </si>
  <si>
    <t>CT0973000000000|2016</t>
  </si>
  <si>
    <t>CT0976500000000|2015</t>
  </si>
  <si>
    <t>CT0976500000000|2016</t>
  </si>
  <si>
    <t>CT0980000000000|2015</t>
  </si>
  <si>
    <t>CT0980000000000|2016</t>
  </si>
  <si>
    <t>CT0982800000000|2015</t>
  </si>
  <si>
    <t>CT0982800000000|2016</t>
  </si>
  <si>
    <t>IM0976450000000|2015</t>
  </si>
  <si>
    <t>IM0976450000000|2016</t>
  </si>
  <si>
    <t>IM0978100000000|2015</t>
  </si>
  <si>
    <t>IM0978100000000|2016</t>
  </si>
  <si>
    <t>IM0979600000000|2015</t>
  </si>
  <si>
    <t>IM0979600000000|2016</t>
  </si>
  <si>
    <t>MC0978400000000|2015</t>
  </si>
  <si>
    <t>MC0978400000000|2016</t>
  </si>
  <si>
    <t>MT0971950000000|2015</t>
  </si>
  <si>
    <t>MT0971950000000|2016</t>
  </si>
  <si>
    <t>MT0972850000000|2015</t>
  </si>
  <si>
    <t>MT0972850000000|2016</t>
  </si>
  <si>
    <t>MT0973450000000|2015</t>
  </si>
  <si>
    <t>MT0973450000000|2016</t>
  </si>
  <si>
    <t>MT0975700000000|2015</t>
  </si>
  <si>
    <t>MT0975700000000|2016</t>
  </si>
  <si>
    <t>MT0976450000000|2015</t>
  </si>
  <si>
    <t>MT0976450000000|2016</t>
  </si>
  <si>
    <t>MT0978700000000|2015</t>
  </si>
  <si>
    <t>MT0978700000000|2016</t>
  </si>
  <si>
    <t>SA0981220000000|2015</t>
  </si>
  <si>
    <t>SA0981220000000|2016</t>
  </si>
  <si>
    <t>SA0981580000000|2015</t>
  </si>
  <si>
    <t>SA0981580000000|2016</t>
  </si>
  <si>
    <t>ST0900000000000|2015</t>
  </si>
  <si>
    <t>ST0900000000000|2016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</si>
</sst>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mm/dd/yyyy"/>
    <numFmt numFmtId="165" formatCode="0.000"/>
    <numFmt numFmtId="166" formatCode="0.000000"/>
    <numFmt numFmtId="167" formatCode="&quot; &quot;* #,##0&quot; &quot;;&quot; &quot;* \(#,##0\);&quot; &quot;* &quot;-&quot;??&quot; &quot;"/>
    <numFmt numFmtId="168" formatCode="0.0%"/>
    <numFmt numFmtId="169" formatCode="0.000%"/>
    <numFmt numFmtId="170" formatCode="&quot; &quot;&quot;$&quot;* #,##0.00&quot; &quot;;&quot; &quot;&quot;$&quot;* &quot;-&quot;#,##0.00&quot; &quot;;&quot; &quot;&quot;$&quot;* &quot;-&quot;??&quot; &quot;"/>
  </numFmts>
  <fonts count="6">
    <font>
      <sz val="11"/>
      <color indexed="8"/>
      <name val="Calibri"/>
    </font>
    <font>
      <b/>
      <sz val="11"/>
      <color indexed="8"/>
      <name val="Calibri"/>
    </font>
    <font>
      <sz val="11"/>
      <color indexed="20"/>
      <name val="Calibri"/>
    </font>
    <font>
      <sz val="10"/>
      <color indexed="8"/>
      <name val="Calibri"/>
    </font>
    <font>
      <b/>
      <i/>
      <sz val="11"/>
      <color indexed="26"/>
      <name val="Inherit"/>
    </font>
    <font>
      <sz val="11"/>
      <color indexed="26"/>
      <name val="Inherit"/>
    </font>
  </fonts>
  <fills count="16">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1"/>
        <bgColor auto="1"/>
      </patternFill>
    </fill>
    <fill>
      <patternFill patternType="solid">
        <fgColor indexed="24"/>
        <bgColor auto="1"/>
      </patternFill>
    </fill>
    <fill>
      <patternFill patternType="solid">
        <fgColor indexed="27"/>
        <bgColor auto="1"/>
      </patternFill>
    </fill>
    <fill>
      <patternFill patternType="solid">
        <fgColor indexed="29"/>
        <bgColor auto="1"/>
      </patternFill>
    </fill>
  </fills>
  <borders count="30">
    <border>
      <left/>
      <right/>
      <top/>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style="thin">
        <color indexed="10"/>
      </bottom>
      <diagonal/>
    </border>
    <border>
      <left style="thin">
        <color indexed="10"/>
      </left>
      <right style="thin">
        <color indexed="10"/>
      </right>
      <top/>
      <bottom style="thin">
        <color indexed="10"/>
      </bottom>
      <diagonal/>
    </border>
    <border>
      <left style="thin">
        <color indexed="10"/>
      </left>
      <right style="thin">
        <color indexed="10"/>
      </right>
      <top style="thin">
        <color indexed="10"/>
      </top>
      <bottom style="thin">
        <color indexed="9"/>
      </bottom>
      <diagonal/>
    </border>
    <border>
      <left style="thin">
        <color indexed="10"/>
      </left>
      <right style="thin">
        <color indexed="9"/>
      </right>
      <top style="thin">
        <color indexed="10"/>
      </top>
      <bottom style="thin">
        <color indexed="10"/>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10"/>
      </top>
      <bottom style="thin">
        <color indexed="10"/>
      </bottom>
      <diagonal/>
    </border>
    <border>
      <left style="thin">
        <color indexed="9"/>
      </left>
      <right style="thin">
        <color indexed="10"/>
      </right>
      <top style="thin">
        <color indexed="10"/>
      </top>
      <bottom style="thin">
        <color indexed="10"/>
      </bottom>
      <diagonal/>
    </border>
    <border>
      <left style="thin">
        <color indexed="9"/>
      </left>
      <right style="thin">
        <color indexed="10"/>
      </right>
      <top style="thin">
        <color indexed="9"/>
      </top>
      <bottom style="thin">
        <color indexed="9"/>
      </bottom>
      <diagonal/>
    </border>
    <border>
      <left style="thin">
        <color indexed="10"/>
      </left>
      <right style="thin">
        <color indexed="9"/>
      </right>
      <top style="thin">
        <color indexed="9"/>
      </top>
      <bottom style="thin">
        <color indexed="9"/>
      </bottom>
      <diagonal/>
    </border>
    <border>
      <left style="thin">
        <color indexed="9"/>
      </left>
      <right style="thin">
        <color indexed="9"/>
      </right>
      <top style="thin">
        <color indexed="9"/>
      </top>
      <bottom style="thin">
        <color indexed="10"/>
      </bottom>
      <diagonal/>
    </border>
    <border>
      <left style="thin">
        <color indexed="22"/>
      </left>
      <right style="thin">
        <color indexed="22"/>
      </right>
      <top style="thin">
        <color indexed="22"/>
      </top>
      <bottom style="thin">
        <color indexed="23"/>
      </bottom>
      <diagonal/>
    </border>
    <border>
      <left style="thin">
        <color indexed="22"/>
      </left>
      <right style="thin">
        <color indexed="23"/>
      </right>
      <top style="thin">
        <color indexed="23"/>
      </top>
      <bottom style="thin">
        <color indexed="22"/>
      </bottom>
      <diagonal/>
    </border>
    <border>
      <left style="thin">
        <color indexed="23"/>
      </left>
      <right style="thin">
        <color indexed="22"/>
      </right>
      <top style="thin">
        <color indexed="23"/>
      </top>
      <bottom style="thin">
        <color indexed="22"/>
      </bottom>
      <diagonal/>
    </border>
    <border>
      <left style="thin">
        <color indexed="22"/>
      </left>
      <right style="thin">
        <color indexed="22"/>
      </right>
      <top style="thin">
        <color indexed="23"/>
      </top>
      <bottom style="thin">
        <color indexed="22"/>
      </bottom>
      <diagonal/>
    </border>
    <border>
      <left style="thin">
        <color indexed="22"/>
      </left>
      <right style="thin">
        <color indexed="23"/>
      </right>
      <top style="thin">
        <color indexed="22"/>
      </top>
      <bottom style="thin">
        <color indexed="22"/>
      </bottom>
      <diagonal/>
    </border>
    <border>
      <left style="thin">
        <color indexed="23"/>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10"/>
      </left>
      <right style="thin">
        <color indexed="10"/>
      </right>
      <top style="thin">
        <color indexed="10"/>
      </top>
      <bottom/>
      <diagonal/>
    </border>
    <border>
      <left style="thin">
        <color indexed="10"/>
      </left>
      <right/>
      <top/>
      <bottom/>
      <diagonal/>
    </border>
    <border>
      <left style="thin">
        <color indexed="10"/>
      </left>
      <right/>
      <top/>
      <bottom style="thin">
        <color indexed="10"/>
      </bottom>
      <diagonal/>
    </border>
    <border>
      <left style="thin">
        <color indexed="10"/>
      </left>
      <right style="thin">
        <color indexed="10"/>
      </right>
      <top style="thin">
        <color indexed="10"/>
      </top>
      <bottom style="medium">
        <color indexed="25"/>
      </bottom>
      <diagonal/>
    </border>
    <border>
      <left style="medium">
        <color indexed="25"/>
      </left>
      <right style="medium">
        <color indexed="25"/>
      </right>
      <top style="medium">
        <color indexed="25"/>
      </top>
      <bottom style="medium">
        <color indexed="25"/>
      </bottom>
      <diagonal/>
    </border>
    <border>
      <left style="thin">
        <color indexed="10"/>
      </left>
      <right style="thin">
        <color indexed="10"/>
      </right>
      <top style="thin">
        <color indexed="10"/>
      </top>
      <bottom style="thin">
        <color indexed="28"/>
      </bottom>
      <diagonal/>
    </border>
    <border>
      <left style="thin">
        <color indexed="10"/>
      </left>
      <right/>
      <top style="thin">
        <color indexed="28"/>
      </top>
      <bottom/>
      <diagonal/>
    </border>
    <border>
      <left/>
      <right/>
      <top style="thin">
        <color indexed="28"/>
      </top>
      <bottom/>
      <diagonal/>
    </border>
    <border>
      <left/>
      <right/>
      <top/>
      <bottom/>
      <diagonal/>
    </border>
  </borders>
  <cellStyleXfs count="1">
    <xf numFmtId="0" fontId="0" fillId="0" borderId="0" applyNumberFormat="0" applyFill="0" applyBorder="0" applyProtection="0"/>
  </cellStyleXfs>
  <cellXfs count="135">
    <xf numFmtId="0" fontId="0" fillId="0" borderId="0" xfId="0" applyFont="1" applyAlignment="1"/>
    <xf numFmtId="0" fontId="0" fillId="0" borderId="0" xfId="0" applyNumberFormat="1" applyFont="1" applyAlignment="1"/>
    <xf numFmtId="49" fontId="0" fillId="2" borderId="1" xfId="0" applyNumberFormat="1" applyFont="1" applyFill="1" applyBorder="1" applyAlignment="1"/>
    <xf numFmtId="1" fontId="0" fillId="2" borderId="1" xfId="0" applyNumberFormat="1" applyFont="1" applyFill="1" applyBorder="1" applyAlignment="1"/>
    <xf numFmtId="3" fontId="0" fillId="0" borderId="1" xfId="0" applyNumberFormat="1" applyFont="1" applyBorder="1" applyAlignment="1"/>
    <xf numFmtId="0" fontId="0" fillId="0" borderId="1" xfId="0" applyFont="1" applyBorder="1" applyAlignment="1"/>
    <xf numFmtId="0" fontId="0" fillId="0" borderId="1" xfId="0" applyNumberFormat="1" applyFont="1" applyBorder="1" applyAlignment="1"/>
    <xf numFmtId="0" fontId="0" fillId="0" borderId="0" xfId="0" applyNumberFormat="1" applyFont="1" applyAlignment="1"/>
    <xf numFmtId="49" fontId="1" fillId="3" borderId="2" xfId="0" applyNumberFormat="1" applyFont="1" applyFill="1" applyBorder="1" applyAlignment="1">
      <alignment wrapText="1"/>
    </xf>
    <xf numFmtId="49" fontId="1" fillId="3" borderId="3" xfId="0" applyNumberFormat="1" applyFont="1" applyFill="1" applyBorder="1" applyAlignment="1">
      <alignment wrapText="1"/>
    </xf>
    <xf numFmtId="49" fontId="1" fillId="3" borderId="3" xfId="0" applyNumberFormat="1" applyFont="1" applyFill="1" applyBorder="1" applyAlignment="1">
      <alignment horizontal="right" wrapText="1"/>
    </xf>
    <xf numFmtId="49" fontId="1" fillId="4" borderId="3" xfId="0" applyNumberFormat="1" applyFont="1" applyFill="1" applyBorder="1" applyAlignment="1">
      <alignment wrapText="1"/>
    </xf>
    <xf numFmtId="49" fontId="1" fillId="5" borderId="3" xfId="0" applyNumberFormat="1" applyFont="1" applyFill="1" applyBorder="1" applyAlignment="1">
      <alignment wrapText="1"/>
    </xf>
    <xf numFmtId="49" fontId="1" fillId="6" borderId="3" xfId="0" applyNumberFormat="1" applyFont="1" applyFill="1" applyBorder="1" applyAlignment="1">
      <alignment wrapText="1"/>
    </xf>
    <xf numFmtId="49" fontId="1" fillId="7" borderId="3" xfId="0" applyNumberFormat="1" applyFont="1" applyFill="1" applyBorder="1" applyAlignment="1">
      <alignment wrapText="1"/>
    </xf>
    <xf numFmtId="49" fontId="1" fillId="8" borderId="3" xfId="0" applyNumberFormat="1" applyFont="1" applyFill="1" applyBorder="1" applyAlignment="1">
      <alignment wrapText="1"/>
    </xf>
    <xf numFmtId="49" fontId="1" fillId="9" borderId="3" xfId="0" applyNumberFormat="1" applyFont="1" applyFill="1" applyBorder="1" applyAlignment="1">
      <alignment wrapText="1"/>
    </xf>
    <xf numFmtId="49" fontId="1" fillId="10" borderId="3" xfId="0" applyNumberFormat="1" applyFont="1" applyFill="1" applyBorder="1" applyAlignment="1">
      <alignment wrapText="1"/>
    </xf>
    <xf numFmtId="49" fontId="1" fillId="11" borderId="3" xfId="0" applyNumberFormat="1" applyFont="1" applyFill="1" applyBorder="1" applyAlignment="1">
      <alignment wrapText="1"/>
    </xf>
    <xf numFmtId="0" fontId="0" fillId="2" borderId="4" xfId="0" applyFont="1" applyFill="1" applyBorder="1" applyAlignment="1"/>
    <xf numFmtId="0" fontId="0" fillId="2" borderId="1" xfId="0" applyFont="1" applyFill="1" applyBorder="1" applyAlignment="1"/>
    <xf numFmtId="0" fontId="1" fillId="2" borderId="5" xfId="0" applyNumberFormat="1" applyFont="1" applyFill="1" applyBorder="1" applyAlignment="1">
      <alignment wrapText="1"/>
    </xf>
    <xf numFmtId="0" fontId="1" fillId="2" borderId="5" xfId="0" applyNumberFormat="1" applyFont="1" applyFill="1" applyBorder="1" applyAlignment="1">
      <alignment horizontal="right" wrapText="1"/>
    </xf>
    <xf numFmtId="0" fontId="1" fillId="2" borderId="5" xfId="0" applyFont="1" applyFill="1" applyBorder="1" applyAlignment="1">
      <alignment horizontal="right" wrapText="1"/>
    </xf>
    <xf numFmtId="49" fontId="0" fillId="2" borderId="5" xfId="0" applyNumberFormat="1" applyFont="1" applyFill="1" applyBorder="1" applyAlignment="1">
      <alignment horizontal="right"/>
    </xf>
    <xf numFmtId="49" fontId="1" fillId="2" borderId="1" xfId="0" applyNumberFormat="1" applyFont="1" applyFill="1" applyBorder="1" applyAlignment="1">
      <alignment horizontal="center"/>
    </xf>
    <xf numFmtId="164" fontId="0" fillId="2" borderId="1" xfId="0" applyNumberFormat="1" applyFont="1" applyFill="1" applyBorder="1" applyAlignment="1">
      <alignment horizontal="right"/>
    </xf>
    <xf numFmtId="3" fontId="0" fillId="2" borderId="1" xfId="0" applyNumberFormat="1" applyFont="1" applyFill="1" applyBorder="1" applyAlignment="1"/>
    <xf numFmtId="164" fontId="0" fillId="2" borderId="1" xfId="0" applyNumberFormat="1" applyFont="1" applyFill="1" applyBorder="1" applyAlignment="1"/>
    <xf numFmtId="10" fontId="0" fillId="2" borderId="1" xfId="0" applyNumberFormat="1" applyFont="1" applyFill="1" applyBorder="1" applyAlignment="1"/>
    <xf numFmtId="9" fontId="0" fillId="2" borderId="1" xfId="0" applyNumberFormat="1" applyFont="1" applyFill="1" applyBorder="1" applyAlignment="1"/>
    <xf numFmtId="2" fontId="0" fillId="2" borderId="1" xfId="0" applyNumberFormat="1" applyFont="1" applyFill="1" applyBorder="1" applyAlignment="1"/>
    <xf numFmtId="165" fontId="0" fillId="2" borderId="1" xfId="0" applyNumberFormat="1" applyFont="1" applyFill="1" applyBorder="1" applyAlignment="1"/>
    <xf numFmtId="166" fontId="0" fillId="2" borderId="1" xfId="0" applyNumberFormat="1" applyFont="1" applyFill="1" applyBorder="1" applyAlignment="1"/>
    <xf numFmtId="0" fontId="1" fillId="2" borderId="1" xfId="0" applyFont="1" applyFill="1" applyBorder="1" applyAlignment="1">
      <alignment wrapText="1"/>
    </xf>
    <xf numFmtId="49" fontId="1" fillId="2" borderId="1" xfId="0" applyNumberFormat="1" applyFont="1" applyFill="1" applyBorder="1" applyAlignment="1">
      <alignment wrapText="1"/>
    </xf>
    <xf numFmtId="0" fontId="1" fillId="2" borderId="1" xfId="0" applyFont="1" applyFill="1" applyBorder="1" applyAlignment="1">
      <alignment horizontal="right" wrapText="1"/>
    </xf>
    <xf numFmtId="49" fontId="0" fillId="0" borderId="1" xfId="0" applyNumberFormat="1" applyFont="1" applyBorder="1" applyAlignment="1"/>
    <xf numFmtId="1" fontId="0" fillId="2" borderId="1" xfId="0" applyNumberFormat="1" applyFont="1" applyFill="1" applyBorder="1" applyAlignment="1">
      <alignment horizontal="right"/>
    </xf>
    <xf numFmtId="3" fontId="0" fillId="2" borderId="1" xfId="0" applyNumberFormat="1" applyFont="1" applyFill="1" applyBorder="1" applyAlignment="1">
      <alignment horizontal="right"/>
    </xf>
    <xf numFmtId="10" fontId="0" fillId="2" borderId="1" xfId="0" applyNumberFormat="1" applyFont="1" applyFill="1" applyBorder="1" applyAlignment="1">
      <alignment horizontal="right"/>
    </xf>
    <xf numFmtId="9" fontId="0" fillId="2" borderId="1" xfId="0" applyNumberFormat="1" applyFont="1" applyFill="1" applyBorder="1" applyAlignment="1">
      <alignment horizontal="right"/>
    </xf>
    <xf numFmtId="0" fontId="0" fillId="2" borderId="1" xfId="0" applyNumberFormat="1" applyFont="1" applyFill="1" applyBorder="1" applyAlignment="1"/>
    <xf numFmtId="9" fontId="0" fillId="0" borderId="1" xfId="0" applyNumberFormat="1" applyFont="1" applyBorder="1" applyAlignment="1"/>
    <xf numFmtId="2" fontId="0" fillId="0" borderId="1" xfId="0" applyNumberFormat="1" applyFont="1" applyBorder="1" applyAlignment="1"/>
    <xf numFmtId="10" fontId="0" fillId="0" borderId="1" xfId="0" applyNumberFormat="1" applyFont="1" applyBorder="1" applyAlignment="1"/>
    <xf numFmtId="165" fontId="0" fillId="0" borderId="1" xfId="0" applyNumberFormat="1" applyFont="1" applyBorder="1" applyAlignment="1"/>
    <xf numFmtId="166" fontId="0" fillId="0" borderId="1" xfId="0" applyNumberFormat="1" applyFont="1" applyBorder="1" applyAlignment="1"/>
    <xf numFmtId="49" fontId="0" fillId="2" borderId="1" xfId="0" applyNumberFormat="1" applyFont="1" applyFill="1" applyBorder="1" applyAlignment="1">
      <alignment wrapText="1"/>
    </xf>
    <xf numFmtId="0" fontId="0" fillId="2" borderId="1" xfId="0" applyFont="1" applyFill="1" applyBorder="1" applyAlignment="1">
      <alignment horizontal="right"/>
    </xf>
    <xf numFmtId="49" fontId="0" fillId="2" borderId="1" xfId="0" applyNumberFormat="1" applyFont="1" applyFill="1" applyBorder="1" applyAlignment="1">
      <alignment horizontal="right"/>
    </xf>
    <xf numFmtId="0" fontId="0" fillId="2" borderId="1" xfId="0" applyNumberFormat="1" applyFont="1" applyFill="1" applyBorder="1" applyAlignment="1">
      <alignment horizontal="right"/>
    </xf>
    <xf numFmtId="10" fontId="2" fillId="2" borderId="1" xfId="0" applyNumberFormat="1" applyFont="1" applyFill="1" applyBorder="1" applyAlignment="1"/>
    <xf numFmtId="167" fontId="0" fillId="2" borderId="1" xfId="0" applyNumberFormat="1" applyFont="1" applyFill="1" applyBorder="1" applyAlignment="1">
      <alignment horizontal="right"/>
    </xf>
    <xf numFmtId="168" fontId="0" fillId="2" borderId="1" xfId="0" applyNumberFormat="1" applyFont="1" applyFill="1" applyBorder="1" applyAlignment="1">
      <alignment horizontal="right"/>
    </xf>
    <xf numFmtId="3" fontId="0" fillId="2" borderId="1" xfId="0" applyNumberFormat="1" applyFont="1" applyFill="1" applyBorder="1" applyAlignment="1">
      <alignment wrapText="1"/>
    </xf>
    <xf numFmtId="3" fontId="0" fillId="2" borderId="1" xfId="0" applyNumberFormat="1" applyFont="1" applyFill="1" applyBorder="1" applyAlignment="1">
      <alignment horizontal="right" wrapText="1"/>
    </xf>
    <xf numFmtId="10" fontId="0" fillId="2" borderId="1" xfId="0" applyNumberFormat="1" applyFont="1" applyFill="1" applyBorder="1" applyAlignment="1">
      <alignment horizontal="right" wrapText="1"/>
    </xf>
    <xf numFmtId="169" fontId="0" fillId="2" borderId="1" xfId="0" applyNumberFormat="1" applyFont="1" applyFill="1" applyBorder="1" applyAlignment="1">
      <alignment horizontal="right"/>
    </xf>
    <xf numFmtId="49" fontId="1" fillId="2" borderId="1" xfId="0" applyNumberFormat="1" applyFont="1" applyFill="1" applyBorder="1" applyAlignment="1"/>
    <xf numFmtId="49" fontId="1" fillId="0" borderId="1" xfId="0" applyNumberFormat="1" applyFont="1" applyBorder="1" applyAlignment="1"/>
    <xf numFmtId="167" fontId="0" fillId="2" borderId="1" xfId="0" applyNumberFormat="1" applyFont="1" applyFill="1" applyBorder="1" applyAlignment="1"/>
    <xf numFmtId="49" fontId="0" fillId="0" borderId="6" xfId="0" applyNumberFormat="1" applyFont="1" applyBorder="1" applyAlignment="1"/>
    <xf numFmtId="164" fontId="0" fillId="2" borderId="6" xfId="0" applyNumberFormat="1" applyFont="1" applyFill="1" applyBorder="1" applyAlignment="1">
      <alignment horizontal="right"/>
    </xf>
    <xf numFmtId="3" fontId="0" fillId="0" borderId="6" xfId="0" applyNumberFormat="1" applyFont="1" applyBorder="1" applyAlignment="1"/>
    <xf numFmtId="3" fontId="0" fillId="2" borderId="6" xfId="0" applyNumberFormat="1" applyFont="1" applyFill="1" applyBorder="1" applyAlignment="1"/>
    <xf numFmtId="164" fontId="0" fillId="2" borderId="6" xfId="0" applyNumberFormat="1" applyFont="1" applyFill="1" applyBorder="1" applyAlignment="1"/>
    <xf numFmtId="10" fontId="0" fillId="2" borderId="6" xfId="0" applyNumberFormat="1" applyFont="1" applyFill="1" applyBorder="1" applyAlignment="1"/>
    <xf numFmtId="0" fontId="0" fillId="2" borderId="6" xfId="0" applyFont="1" applyFill="1" applyBorder="1" applyAlignment="1"/>
    <xf numFmtId="0" fontId="0" fillId="0" borderId="7" xfId="0" applyFont="1" applyBorder="1" applyAlignment="1"/>
    <xf numFmtId="49" fontId="0" fillId="0" borderId="8" xfId="0" applyNumberFormat="1" applyFont="1" applyBorder="1" applyAlignment="1"/>
    <xf numFmtId="49" fontId="0" fillId="0" borderId="9" xfId="0" applyNumberFormat="1" applyFont="1" applyBorder="1" applyAlignment="1"/>
    <xf numFmtId="164" fontId="0" fillId="2" borderId="8" xfId="0" applyNumberFormat="1" applyFont="1" applyFill="1" applyBorder="1" applyAlignment="1">
      <alignment horizontal="right"/>
    </xf>
    <xf numFmtId="3" fontId="0" fillId="0" borderId="8" xfId="0" applyNumberFormat="1" applyFont="1" applyBorder="1" applyAlignment="1"/>
    <xf numFmtId="3" fontId="0" fillId="2" borderId="8" xfId="0" applyNumberFormat="1" applyFont="1" applyFill="1" applyBorder="1" applyAlignment="1"/>
    <xf numFmtId="164" fontId="0" fillId="2" borderId="8" xfId="0" applyNumberFormat="1" applyFont="1" applyFill="1" applyBorder="1" applyAlignment="1"/>
    <xf numFmtId="10" fontId="0" fillId="2" borderId="8" xfId="0" applyNumberFormat="1" applyFont="1" applyFill="1" applyBorder="1" applyAlignment="1"/>
    <xf numFmtId="0" fontId="0" fillId="2" borderId="8" xfId="0" applyFont="1" applyFill="1" applyBorder="1" applyAlignment="1"/>
    <xf numFmtId="10" fontId="0" fillId="2" borderId="10" xfId="0" applyNumberFormat="1" applyFont="1" applyFill="1" applyBorder="1" applyAlignment="1"/>
    <xf numFmtId="167" fontId="0" fillId="2" borderId="8" xfId="0" applyNumberFormat="1" applyFont="1" applyFill="1" applyBorder="1" applyAlignment="1"/>
    <xf numFmtId="3" fontId="0" fillId="2" borderId="8" xfId="0" applyNumberFormat="1" applyFont="1" applyFill="1" applyBorder="1" applyAlignment="1">
      <alignment wrapText="1"/>
    </xf>
    <xf numFmtId="9" fontId="0" fillId="2" borderId="8" xfId="0" applyNumberFormat="1" applyFont="1" applyFill="1" applyBorder="1" applyAlignment="1"/>
    <xf numFmtId="49" fontId="0" fillId="2" borderId="8" xfId="0" applyNumberFormat="1" applyFont="1" applyFill="1" applyBorder="1" applyAlignment="1"/>
    <xf numFmtId="0" fontId="0" fillId="2" borderId="10" xfId="0" applyFont="1" applyFill="1" applyBorder="1" applyAlignment="1"/>
    <xf numFmtId="164" fontId="0" fillId="2" borderId="11" xfId="0" applyNumberFormat="1" applyFont="1" applyFill="1" applyBorder="1" applyAlignment="1">
      <alignment horizontal="right"/>
    </xf>
    <xf numFmtId="164" fontId="0" fillId="2" borderId="12" xfId="0" applyNumberFormat="1" applyFont="1" applyFill="1" applyBorder="1" applyAlignment="1">
      <alignment horizontal="right"/>
    </xf>
    <xf numFmtId="49" fontId="0" fillId="0" borderId="13" xfId="0" applyNumberFormat="1" applyFont="1" applyBorder="1" applyAlignment="1"/>
    <xf numFmtId="164" fontId="0" fillId="2" borderId="13" xfId="0" applyNumberFormat="1" applyFont="1" applyFill="1" applyBorder="1" applyAlignment="1">
      <alignment horizontal="right"/>
    </xf>
    <xf numFmtId="3" fontId="0" fillId="0" borderId="13" xfId="0" applyNumberFormat="1" applyFont="1" applyBorder="1" applyAlignment="1"/>
    <xf numFmtId="3" fontId="0" fillId="2" borderId="13" xfId="0" applyNumberFormat="1" applyFont="1" applyFill="1" applyBorder="1" applyAlignment="1"/>
    <xf numFmtId="164" fontId="0" fillId="2" borderId="13" xfId="0" applyNumberFormat="1" applyFont="1" applyFill="1" applyBorder="1" applyAlignment="1"/>
    <xf numFmtId="0" fontId="0" fillId="2" borderId="13" xfId="0" applyFont="1" applyFill="1" applyBorder="1" applyAlignment="1"/>
    <xf numFmtId="168" fontId="0" fillId="2" borderId="1" xfId="0" applyNumberFormat="1" applyFont="1" applyFill="1" applyBorder="1" applyAlignment="1"/>
    <xf numFmtId="0" fontId="0" fillId="0" borderId="0" xfId="0" applyNumberFormat="1" applyFont="1" applyAlignment="1"/>
    <xf numFmtId="0" fontId="0" fillId="12" borderId="14" xfId="0" applyFont="1" applyFill="1" applyBorder="1" applyAlignment="1"/>
    <xf numFmtId="0" fontId="0" fillId="13" borderId="15" xfId="0" applyFont="1" applyFill="1" applyBorder="1" applyAlignment="1"/>
    <xf numFmtId="0" fontId="0" fillId="0" borderId="16" xfId="0" applyFont="1" applyBorder="1" applyAlignment="1"/>
    <xf numFmtId="0" fontId="0" fillId="0" borderId="17" xfId="0" applyFont="1" applyBorder="1" applyAlignment="1"/>
    <xf numFmtId="0" fontId="0" fillId="13" borderId="18" xfId="0" applyFont="1" applyFill="1" applyBorder="1" applyAlignment="1"/>
    <xf numFmtId="0" fontId="0" fillId="0" borderId="19" xfId="0" applyFont="1" applyBorder="1" applyAlignment="1"/>
    <xf numFmtId="0" fontId="0" fillId="0" borderId="20" xfId="0" applyFont="1" applyBorder="1" applyAlignment="1"/>
    <xf numFmtId="0" fontId="0" fillId="0" borderId="0" xfId="0" applyNumberFormat="1" applyFont="1" applyAlignment="1"/>
    <xf numFmtId="0" fontId="3" fillId="2" borderId="1" xfId="0" applyNumberFormat="1" applyFont="1" applyFill="1" applyBorder="1" applyAlignment="1"/>
    <xf numFmtId="49" fontId="3" fillId="2" borderId="1" xfId="0" applyNumberFormat="1" applyFont="1" applyFill="1" applyBorder="1" applyAlignment="1"/>
    <xf numFmtId="0" fontId="3" fillId="2" borderId="1" xfId="0" applyFont="1" applyFill="1" applyBorder="1" applyAlignment="1"/>
    <xf numFmtId="170" fontId="3" fillId="2" borderId="1" xfId="0" applyNumberFormat="1" applyFont="1" applyFill="1" applyBorder="1" applyAlignment="1"/>
    <xf numFmtId="0" fontId="0" fillId="0" borderId="0" xfId="0" applyNumberFormat="1" applyFont="1" applyAlignment="1"/>
    <xf numFmtId="0" fontId="0" fillId="0" borderId="21" xfId="0" applyFont="1" applyBorder="1" applyAlignment="1"/>
    <xf numFmtId="49" fontId="0" fillId="4" borderId="22" xfId="0" applyNumberFormat="1" applyFont="1" applyFill="1" applyBorder="1" applyAlignment="1"/>
    <xf numFmtId="49" fontId="0" fillId="0" borderId="4" xfId="0" applyNumberFormat="1" applyFont="1" applyBorder="1" applyAlignment="1"/>
    <xf numFmtId="49" fontId="0" fillId="4" borderId="23" xfId="0" applyNumberFormat="1" applyFont="1" applyFill="1" applyBorder="1" applyAlignment="1"/>
    <xf numFmtId="0" fontId="0" fillId="0" borderId="0" xfId="0" applyNumberFormat="1" applyFont="1" applyAlignment="1"/>
    <xf numFmtId="0" fontId="0" fillId="0" borderId="24" xfId="0" applyFont="1" applyBorder="1" applyAlignment="1"/>
    <xf numFmtId="49" fontId="4" fillId="14" borderId="25" xfId="0" applyNumberFormat="1" applyFont="1" applyFill="1" applyBorder="1" applyAlignment="1">
      <alignment horizontal="left" vertical="center" wrapText="1"/>
    </xf>
    <xf numFmtId="49" fontId="5" fillId="2" borderId="25" xfId="0" applyNumberFormat="1" applyFont="1" applyFill="1" applyBorder="1" applyAlignment="1">
      <alignment horizontal="left" vertical="center" wrapText="1"/>
    </xf>
    <xf numFmtId="0" fontId="5" fillId="2" borderId="25" xfId="0" applyNumberFormat="1" applyFont="1" applyFill="1" applyBorder="1" applyAlignment="1">
      <alignment horizontal="left" vertical="center" wrapText="1"/>
    </xf>
    <xf numFmtId="0" fontId="5" fillId="2" borderId="25" xfId="0" applyFont="1" applyFill="1" applyBorder="1" applyAlignment="1">
      <alignment horizontal="left" vertical="center" wrapText="1"/>
    </xf>
    <xf numFmtId="0" fontId="0" fillId="0" borderId="0" xfId="0" applyNumberFormat="1" applyFont="1" applyAlignment="1"/>
    <xf numFmtId="0" fontId="0" fillId="2" borderId="26" xfId="0" applyFont="1" applyFill="1" applyBorder="1" applyAlignment="1"/>
    <xf numFmtId="49" fontId="1" fillId="15" borderId="27" xfId="0" applyNumberFormat="1" applyFont="1" applyFill="1" applyBorder="1" applyAlignment="1"/>
    <xf numFmtId="0" fontId="1" fillId="15" borderId="28" xfId="0" applyFont="1" applyFill="1" applyBorder="1" applyAlignment="1"/>
    <xf numFmtId="49" fontId="1" fillId="15" borderId="28" xfId="0" applyNumberFormat="1" applyFont="1" applyFill="1" applyBorder="1" applyAlignment="1"/>
    <xf numFmtId="49" fontId="1" fillId="15" borderId="22" xfId="0" applyNumberFormat="1" applyFont="1" applyFill="1" applyBorder="1" applyAlignment="1"/>
    <xf numFmtId="49" fontId="1" fillId="15" borderId="29" xfId="0" applyNumberFormat="1" applyFont="1" applyFill="1" applyBorder="1" applyAlignment="1"/>
    <xf numFmtId="0" fontId="1" fillId="15" borderId="29" xfId="0" applyNumberFormat="1" applyFont="1" applyFill="1" applyBorder="1" applyAlignment="1"/>
    <xf numFmtId="49" fontId="1" fillId="2" borderId="5" xfId="0" applyNumberFormat="1" applyFont="1" applyFill="1" applyBorder="1" applyAlignment="1"/>
    <xf numFmtId="49" fontId="0" fillId="2" borderId="5" xfId="0" applyNumberFormat="1" applyFont="1" applyFill="1" applyBorder="1" applyAlignment="1"/>
    <xf numFmtId="0" fontId="0" fillId="2" borderId="5" xfId="0" applyNumberFormat="1" applyFont="1" applyFill="1" applyBorder="1" applyAlignment="1"/>
    <xf numFmtId="0" fontId="0" fillId="0" borderId="0" xfId="0" applyNumberFormat="1" applyFont="1" applyAlignment="1"/>
    <xf numFmtId="49" fontId="2" fillId="2" borderId="1" xfId="0" applyNumberFormat="1" applyFont="1" applyFill="1" applyBorder="1" applyAlignment="1"/>
    <xf numFmtId="0" fontId="0" fillId="0" borderId="0" xfId="0" applyNumberFormat="1" applyFont="1" applyAlignment="1"/>
    <xf numFmtId="49" fontId="2" fillId="2" borderId="1" xfId="0" applyNumberFormat="1" applyFont="1" applyFill="1" applyBorder="1" applyAlignment="1">
      <alignment horizontal="center"/>
    </xf>
    <xf numFmtId="0" fontId="2" fillId="2" borderId="1" xfId="0" applyFont="1" applyFill="1" applyBorder="1" applyAlignment="1">
      <alignment horizontal="center"/>
    </xf>
    <xf numFmtId="49" fontId="2" fillId="0" borderId="1" xfId="0" applyNumberFormat="1" applyFont="1" applyBorder="1" applyAlignment="1">
      <alignment horizontal="center"/>
    </xf>
    <xf numFmtId="0" fontId="2" fillId="0" borderId="1" xfId="0" applyFont="1" applyBorder="1" applyAlignment="1">
      <alignment horizont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FFFF00"/>
      <rgbColor rgb="FF92D050"/>
      <rgbColor rgb="FF00B0F0"/>
      <rgbColor rgb="FFB4C6E7"/>
      <rgbColor rgb="FFF7CAAC"/>
      <rgbColor rgb="FFFFE598"/>
      <rgbColor rgb="FFA9CD90"/>
      <rgbColor rgb="FFD8D8D8"/>
      <rgbColor rgb="FFFF0000"/>
      <rgbColor rgb="FFBDC0BF"/>
      <rgbColor rgb="FFA5A5A5"/>
      <rgbColor rgb="FF3F3F3F"/>
      <rgbColor rgb="FFDBDBDB"/>
      <rgbColor rgb="FFCCCCCC"/>
      <rgbColor rgb="FF111111"/>
      <rgbColor rgb="FFC0C0C0"/>
      <rgbColor rgb="FF8EAADB"/>
      <rgbColor rgb="FFD9E2F3"/>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Theme">
      <a:majorFont>
        <a:latin typeface="Helvetica"/>
        <a:ea typeface="Helvetica"/>
        <a:cs typeface="Helvetica"/>
      </a:majorFont>
      <a:minorFont>
        <a:latin typeface="Helvetica"/>
        <a:ea typeface="Helvetica"/>
        <a:cs typeface="Helvetica"/>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68"/>
  <sheetViews>
    <sheetView showGridLines="0" topLeftCell="A147" workbookViewId="0"/>
  </sheetViews>
  <sheetFormatPr baseColWidth="10" defaultColWidth="8.83203125" defaultRowHeight="14" customHeight="1"/>
  <cols>
    <col min="1" max="1" width="16.5" style="1" customWidth="1"/>
    <col min="2" max="256" width="8.83203125" style="1" customWidth="1"/>
  </cols>
  <sheetData>
    <row r="1" spans="1:5" ht="15" customHeight="1">
      <c r="A1" s="2" t="s">
        <v>0</v>
      </c>
      <c r="B1" s="3">
        <v>24.600958435632631</v>
      </c>
      <c r="C1" s="4">
        <v>60960</v>
      </c>
      <c r="D1" s="5"/>
      <c r="E1" s="5"/>
    </row>
    <row r="2" spans="1:5" ht="15" customHeight="1">
      <c r="A2" s="2" t="s">
        <v>1</v>
      </c>
      <c r="B2" s="3">
        <v>32.241486177308118</v>
      </c>
      <c r="C2" s="4">
        <v>108802</v>
      </c>
      <c r="D2" s="5"/>
      <c r="E2" s="5"/>
    </row>
    <row r="3" spans="1:5" ht="15" customHeight="1">
      <c r="A3" s="2" t="s">
        <v>2</v>
      </c>
      <c r="B3" s="3">
        <v>36.434635832401227</v>
      </c>
      <c r="C3" s="4">
        <v>52112</v>
      </c>
      <c r="D3" s="5"/>
      <c r="E3" s="5"/>
    </row>
    <row r="4" spans="1:5" ht="15" customHeight="1">
      <c r="A4" s="2" t="s">
        <v>3</v>
      </c>
      <c r="B4" s="3">
        <v>44.492775666222613</v>
      </c>
      <c r="C4" s="4">
        <v>123243</v>
      </c>
      <c r="D4" s="5"/>
      <c r="E4" s="5"/>
    </row>
    <row r="5" spans="1:5" ht="15" customHeight="1">
      <c r="A5" s="2" t="s">
        <v>4</v>
      </c>
      <c r="B5" s="3">
        <v>46.289587339651597</v>
      </c>
      <c r="C5" s="4">
        <v>144229</v>
      </c>
      <c r="D5" s="5"/>
      <c r="E5" s="5"/>
    </row>
    <row r="6" spans="1:5" ht="15" customHeight="1">
      <c r="A6" s="2" t="s">
        <v>5</v>
      </c>
      <c r="B6" s="3">
        <v>48.189017098389357</v>
      </c>
      <c r="C6" s="4">
        <v>129934</v>
      </c>
      <c r="D6" s="5"/>
      <c r="E6" s="5"/>
    </row>
    <row r="7" spans="1:5" ht="15" customHeight="1">
      <c r="A7" s="2" t="s">
        <v>6</v>
      </c>
      <c r="B7" s="3">
        <v>49.682396820400918</v>
      </c>
      <c r="C7" s="4">
        <v>55564</v>
      </c>
      <c r="D7" s="5"/>
      <c r="E7" s="5"/>
    </row>
    <row r="8" spans="1:5" ht="15" customHeight="1">
      <c r="A8" s="2" t="s">
        <v>7</v>
      </c>
      <c r="B8" s="3">
        <v>49.687615633884747</v>
      </c>
      <c r="C8" s="4">
        <v>2984</v>
      </c>
      <c r="D8" s="5"/>
      <c r="E8" s="5"/>
    </row>
    <row r="9" spans="1:5" ht="15" customHeight="1">
      <c r="A9" s="2" t="s">
        <v>8</v>
      </c>
      <c r="B9" s="3">
        <v>53.335079763756028</v>
      </c>
      <c r="C9" s="4">
        <v>122643</v>
      </c>
      <c r="D9" s="5"/>
      <c r="E9" s="5"/>
    </row>
    <row r="10" spans="1:5" ht="15" customHeight="1">
      <c r="A10" s="2" t="s">
        <v>9</v>
      </c>
      <c r="B10" s="3">
        <v>53.519646720973547</v>
      </c>
      <c r="C10" s="4">
        <v>12903</v>
      </c>
      <c r="D10" s="5"/>
      <c r="E10" s="5"/>
    </row>
    <row r="11" spans="1:5" ht="15" customHeight="1">
      <c r="A11" s="2" t="s">
        <v>10</v>
      </c>
      <c r="B11" s="3">
        <v>54.651346456819141</v>
      </c>
      <c r="C11" s="4">
        <v>31392</v>
      </c>
      <c r="D11" s="5"/>
      <c r="E11" s="5"/>
    </row>
    <row r="12" spans="1:5" ht="15" customHeight="1">
      <c r="A12" s="2" t="s">
        <v>11</v>
      </c>
      <c r="B12" s="3">
        <v>55.862723301084067</v>
      </c>
      <c r="C12" s="4">
        <v>3392</v>
      </c>
      <c r="D12" s="5"/>
      <c r="E12" s="5"/>
    </row>
    <row r="13" spans="1:5" ht="15" customHeight="1">
      <c r="A13" s="2" t="s">
        <v>12</v>
      </c>
      <c r="B13" s="3">
        <v>58.265242089676427</v>
      </c>
      <c r="C13" s="4">
        <v>4629</v>
      </c>
      <c r="D13" s="5"/>
      <c r="E13" s="5"/>
    </row>
    <row r="14" spans="1:5" ht="15" customHeight="1">
      <c r="A14" s="2" t="s">
        <v>13</v>
      </c>
      <c r="B14" s="3">
        <v>58.37528208294404</v>
      </c>
      <c r="C14" s="4">
        <v>27620</v>
      </c>
      <c r="D14" s="5"/>
      <c r="E14" s="5"/>
    </row>
    <row r="15" spans="1:5" ht="15" customHeight="1">
      <c r="A15" s="2" t="s">
        <v>14</v>
      </c>
      <c r="B15" s="3">
        <v>58.394497133622359</v>
      </c>
      <c r="C15" s="4">
        <v>29257</v>
      </c>
      <c r="D15" s="5"/>
      <c r="E15" s="5"/>
    </row>
    <row r="16" spans="1:5" ht="15" customHeight="1">
      <c r="A16" s="2" t="s">
        <v>15</v>
      </c>
      <c r="B16" s="3">
        <v>58.499584533675062</v>
      </c>
      <c r="C16" s="4">
        <v>60868</v>
      </c>
      <c r="D16" s="5"/>
      <c r="E16" s="5"/>
    </row>
    <row r="17" spans="1:5" ht="15" customHeight="1">
      <c r="A17" s="2" t="s">
        <v>16</v>
      </c>
      <c r="B17" s="3">
        <v>58.764955624593433</v>
      </c>
      <c r="C17" s="4">
        <v>16487</v>
      </c>
      <c r="D17" s="5"/>
      <c r="E17" s="5"/>
    </row>
    <row r="18" spans="1:5" ht="15" customHeight="1">
      <c r="A18" s="2" t="s">
        <v>17</v>
      </c>
      <c r="B18" s="3">
        <v>59.496214715305442</v>
      </c>
      <c r="C18" s="6">
        <v>854</v>
      </c>
      <c r="D18" s="5"/>
      <c r="E18" s="5"/>
    </row>
    <row r="19" spans="1:5" ht="15" customHeight="1">
      <c r="A19" s="2" t="s">
        <v>18</v>
      </c>
      <c r="B19" s="3">
        <v>60.021326188138048</v>
      </c>
      <c r="C19" s="4">
        <v>51271</v>
      </c>
      <c r="D19" s="5"/>
      <c r="E19" s="5"/>
    </row>
    <row r="20" spans="1:5" ht="15" customHeight="1">
      <c r="A20" s="2" t="s">
        <v>19</v>
      </c>
      <c r="B20" s="3">
        <v>60.767107396801393</v>
      </c>
      <c r="C20" s="4">
        <v>19517</v>
      </c>
      <c r="D20" s="5"/>
      <c r="E20" s="5"/>
    </row>
    <row r="21" spans="1:5" ht="15" customHeight="1">
      <c r="A21" s="2" t="s">
        <v>20</v>
      </c>
      <c r="B21" s="3">
        <v>61.163460849741597</v>
      </c>
      <c r="C21" s="4">
        <v>19159</v>
      </c>
      <c r="D21" s="5"/>
      <c r="E21" s="5"/>
    </row>
    <row r="22" spans="1:5" ht="15" customHeight="1">
      <c r="A22" s="2" t="s">
        <v>21</v>
      </c>
      <c r="B22" s="3">
        <v>61.449412636056572</v>
      </c>
      <c r="C22" s="4">
        <v>59404</v>
      </c>
      <c r="D22" s="5"/>
      <c r="E22" s="5"/>
    </row>
    <row r="23" spans="1:5" ht="15" customHeight="1">
      <c r="A23" s="2" t="s">
        <v>22</v>
      </c>
      <c r="B23" s="3">
        <v>61.679236625001117</v>
      </c>
      <c r="C23" s="4">
        <v>29261</v>
      </c>
      <c r="D23" s="5"/>
      <c r="E23" s="5"/>
    </row>
    <row r="24" spans="1:5" ht="15" customHeight="1">
      <c r="A24" s="2" t="s">
        <v>23</v>
      </c>
      <c r="B24" s="3">
        <v>61.941616042623529</v>
      </c>
      <c r="C24" s="4">
        <v>8200</v>
      </c>
      <c r="D24" s="5"/>
      <c r="E24" s="5"/>
    </row>
    <row r="25" spans="1:5" ht="15" customHeight="1">
      <c r="A25" s="2" t="s">
        <v>24</v>
      </c>
      <c r="B25" s="3">
        <v>61.982731569418263</v>
      </c>
      <c r="C25" s="4">
        <v>16540</v>
      </c>
      <c r="D25" s="5"/>
      <c r="E25" s="5"/>
    </row>
    <row r="26" spans="1:5" ht="15" customHeight="1">
      <c r="A26" s="2" t="s">
        <v>25</v>
      </c>
      <c r="B26" s="3">
        <v>62.065831358688143</v>
      </c>
      <c r="C26" s="4">
        <v>22514</v>
      </c>
      <c r="D26" s="5"/>
      <c r="E26" s="5"/>
    </row>
    <row r="27" spans="1:5" ht="15" customHeight="1">
      <c r="A27" s="2" t="s">
        <v>26</v>
      </c>
      <c r="B27" s="3">
        <v>62.591888212535103</v>
      </c>
      <c r="C27" s="4">
        <v>36018</v>
      </c>
      <c r="D27" s="5"/>
      <c r="E27" s="5"/>
    </row>
    <row r="28" spans="1:5" ht="15" customHeight="1">
      <c r="A28" s="2" t="s">
        <v>27</v>
      </c>
      <c r="B28" s="3">
        <v>62.618445053364297</v>
      </c>
      <c r="C28" s="4">
        <v>22375</v>
      </c>
      <c r="D28" s="5"/>
      <c r="E28" s="5"/>
    </row>
    <row r="29" spans="1:5" ht="15" customHeight="1">
      <c r="A29" s="2" t="s">
        <v>28</v>
      </c>
      <c r="B29" s="3">
        <v>63.034252874667622</v>
      </c>
      <c r="C29" s="4">
        <v>16680</v>
      </c>
      <c r="D29" s="5"/>
      <c r="E29" s="5"/>
    </row>
    <row r="30" spans="1:5" ht="15" customHeight="1">
      <c r="A30" s="2" t="s">
        <v>29</v>
      </c>
      <c r="B30" s="3">
        <v>63.050897156661037</v>
      </c>
      <c r="C30" s="4">
        <v>9405</v>
      </c>
      <c r="D30" s="5"/>
      <c r="E30" s="5"/>
    </row>
    <row r="31" spans="1:5" ht="15" customHeight="1">
      <c r="A31" s="2" t="s">
        <v>30</v>
      </c>
      <c r="B31" s="3">
        <v>63.095593322107987</v>
      </c>
      <c r="C31" s="4">
        <v>63268</v>
      </c>
      <c r="D31" s="5"/>
      <c r="E31" s="5"/>
    </row>
    <row r="32" spans="1:5" ht="15" customHeight="1">
      <c r="A32" s="2" t="s">
        <v>31</v>
      </c>
      <c r="B32" s="3">
        <v>63.266861206746263</v>
      </c>
      <c r="C32" s="4">
        <v>24093</v>
      </c>
      <c r="D32" s="5"/>
      <c r="E32" s="5"/>
    </row>
    <row r="33" spans="1:5" ht="15" customHeight="1">
      <c r="A33" s="2" t="s">
        <v>32</v>
      </c>
      <c r="B33" s="3">
        <v>63.329761574930387</v>
      </c>
      <c r="C33" s="4">
        <v>34646</v>
      </c>
      <c r="D33" s="5"/>
      <c r="E33" s="5"/>
    </row>
    <row r="34" spans="1:5" ht="15" customHeight="1">
      <c r="A34" s="2" t="s">
        <v>33</v>
      </c>
      <c r="B34" s="3">
        <v>63.358162192565061</v>
      </c>
      <c r="C34" s="4">
        <v>10242</v>
      </c>
      <c r="D34" s="5"/>
      <c r="E34" s="5"/>
    </row>
    <row r="35" spans="1:5" ht="15" customHeight="1">
      <c r="A35" s="2" t="s">
        <v>34</v>
      </c>
      <c r="B35" s="3">
        <v>63.924419551195378</v>
      </c>
      <c r="C35" s="4">
        <v>51252</v>
      </c>
      <c r="D35" s="5"/>
      <c r="E35" s="5"/>
    </row>
    <row r="36" spans="1:5" ht="15" customHeight="1">
      <c r="A36" s="2" t="s">
        <v>35</v>
      </c>
      <c r="B36" s="3">
        <v>64.159561564043173</v>
      </c>
      <c r="C36" s="4">
        <v>19479</v>
      </c>
      <c r="D36" s="5"/>
      <c r="E36" s="5"/>
    </row>
    <row r="37" spans="1:5" ht="15" customHeight="1">
      <c r="A37" s="2" t="s">
        <v>36</v>
      </c>
      <c r="B37" s="3">
        <v>64.686549678719132</v>
      </c>
      <c r="C37" s="4">
        <v>27560</v>
      </c>
      <c r="D37" s="5"/>
      <c r="E37" s="5"/>
    </row>
    <row r="38" spans="1:5" ht="15" customHeight="1">
      <c r="A38" s="2" t="s">
        <v>37</v>
      </c>
      <c r="B38" s="3">
        <v>64.69390970233232</v>
      </c>
      <c r="C38" s="4">
        <v>80893</v>
      </c>
      <c r="D38" s="5"/>
      <c r="E38" s="5"/>
    </row>
    <row r="39" spans="1:5" ht="15" customHeight="1">
      <c r="A39" s="2" t="s">
        <v>38</v>
      </c>
      <c r="B39" s="3">
        <v>64.877047011187102</v>
      </c>
      <c r="C39" s="4">
        <v>13260</v>
      </c>
      <c r="D39" s="5"/>
      <c r="E39" s="5"/>
    </row>
    <row r="40" spans="1:5" ht="15" customHeight="1">
      <c r="A40" s="2" t="s">
        <v>39</v>
      </c>
      <c r="B40" s="3">
        <v>65.198782702351991</v>
      </c>
      <c r="C40" s="4">
        <v>7887</v>
      </c>
      <c r="D40" s="5"/>
      <c r="E40" s="5"/>
    </row>
    <row r="41" spans="1:5" ht="15" customHeight="1">
      <c r="A41" s="2" t="s">
        <v>40</v>
      </c>
      <c r="B41" s="3">
        <v>65.368193157298734</v>
      </c>
      <c r="C41" s="4">
        <v>73206</v>
      </c>
      <c r="D41" s="5"/>
      <c r="E41" s="5"/>
    </row>
    <row r="42" spans="1:5" ht="15" customHeight="1">
      <c r="A42" s="2" t="s">
        <v>41</v>
      </c>
      <c r="B42" s="3">
        <v>65.770079535499519</v>
      </c>
      <c r="C42" s="4">
        <v>19709</v>
      </c>
      <c r="D42" s="5"/>
      <c r="E42" s="5"/>
    </row>
    <row r="43" spans="1:5" ht="15" customHeight="1">
      <c r="A43" s="2" t="s">
        <v>42</v>
      </c>
      <c r="B43" s="3">
        <v>65.822499478695661</v>
      </c>
      <c r="C43" s="4">
        <v>25709</v>
      </c>
      <c r="D43" s="5"/>
      <c r="E43" s="5"/>
    </row>
    <row r="44" spans="1:5" ht="15" customHeight="1">
      <c r="A44" s="2" t="s">
        <v>43</v>
      </c>
      <c r="B44" s="3">
        <v>65.98025256138277</v>
      </c>
      <c r="C44" s="4">
        <v>2627</v>
      </c>
      <c r="D44" s="5"/>
      <c r="E44" s="5"/>
    </row>
    <row r="45" spans="1:5" ht="15" customHeight="1">
      <c r="A45" s="2" t="s">
        <v>44</v>
      </c>
      <c r="B45" s="3">
        <v>66.094133201688294</v>
      </c>
      <c r="C45" s="4">
        <v>39559</v>
      </c>
      <c r="D45" s="5"/>
      <c r="E45" s="5"/>
    </row>
    <row r="46" spans="1:5" ht="15" customHeight="1">
      <c r="A46" s="2" t="s">
        <v>45</v>
      </c>
      <c r="B46" s="3">
        <v>66.230464355902484</v>
      </c>
      <c r="C46" s="4">
        <v>12192</v>
      </c>
      <c r="D46" s="5"/>
      <c r="E46" s="5"/>
    </row>
    <row r="47" spans="1:5" ht="15" customHeight="1">
      <c r="A47" s="2" t="s">
        <v>46</v>
      </c>
      <c r="B47" s="3">
        <v>66.829293761445513</v>
      </c>
      <c r="C47" s="4">
        <v>6404</v>
      </c>
      <c r="D47" s="5"/>
      <c r="E47" s="5"/>
    </row>
    <row r="48" spans="1:5" ht="15" customHeight="1">
      <c r="A48" s="2" t="s">
        <v>47</v>
      </c>
      <c r="B48" s="3">
        <v>67.045592943049712</v>
      </c>
      <c r="C48" s="4">
        <v>26668</v>
      </c>
      <c r="D48" s="5"/>
      <c r="E48" s="5"/>
    </row>
    <row r="49" spans="1:5" ht="15" customHeight="1">
      <c r="A49" s="2" t="s">
        <v>48</v>
      </c>
      <c r="B49" s="3">
        <v>67.070877911765336</v>
      </c>
      <c r="C49" s="4">
        <v>24638</v>
      </c>
      <c r="D49" s="5"/>
      <c r="E49" s="5"/>
    </row>
    <row r="50" spans="1:5" ht="15" customHeight="1">
      <c r="A50" s="2" t="s">
        <v>49</v>
      </c>
      <c r="B50" s="3">
        <v>67.097836161096296</v>
      </c>
      <c r="C50" s="4">
        <v>12959</v>
      </c>
      <c r="D50" s="5"/>
      <c r="E50" s="5"/>
    </row>
    <row r="51" spans="1:5" ht="15" customHeight="1">
      <c r="A51" s="2" t="s">
        <v>50</v>
      </c>
      <c r="B51" s="3">
        <v>67.213377327164991</v>
      </c>
      <c r="C51" s="4">
        <v>25340</v>
      </c>
      <c r="D51" s="5"/>
      <c r="E51" s="5"/>
    </row>
    <row r="52" spans="1:5" ht="15" customHeight="1">
      <c r="A52" s="2" t="s">
        <v>51</v>
      </c>
      <c r="B52" s="3">
        <v>67.266993368252727</v>
      </c>
      <c r="C52" s="4">
        <v>15051</v>
      </c>
      <c r="D52" s="5"/>
      <c r="E52" s="5"/>
    </row>
    <row r="53" spans="1:5" ht="15" customHeight="1">
      <c r="A53" s="2" t="s">
        <v>52</v>
      </c>
      <c r="B53" s="3">
        <v>67.352397976811005</v>
      </c>
      <c r="C53" s="4">
        <v>24558</v>
      </c>
      <c r="D53" s="5"/>
      <c r="E53" s="5"/>
    </row>
    <row r="54" spans="1:5" ht="15" customHeight="1">
      <c r="A54" s="2" t="s">
        <v>53</v>
      </c>
      <c r="B54" s="3">
        <v>67.800808556035065</v>
      </c>
      <c r="C54" s="4">
        <v>20486</v>
      </c>
      <c r="D54" s="5"/>
      <c r="E54" s="5"/>
    </row>
    <row r="55" spans="1:5" ht="15" customHeight="1">
      <c r="A55" s="2" t="s">
        <v>54</v>
      </c>
      <c r="B55" s="3">
        <v>67.82046283506314</v>
      </c>
      <c r="C55" s="4">
        <v>8466</v>
      </c>
      <c r="D55" s="5"/>
      <c r="E55" s="5"/>
    </row>
    <row r="56" spans="1:5" ht="15" customHeight="1">
      <c r="A56" s="2" t="s">
        <v>55</v>
      </c>
      <c r="B56" s="3">
        <v>67.828946510100891</v>
      </c>
      <c r="C56" s="4">
        <v>40115</v>
      </c>
      <c r="D56" s="5"/>
      <c r="E56" s="5"/>
    </row>
    <row r="57" spans="1:5" ht="15" customHeight="1">
      <c r="A57" s="2" t="s">
        <v>56</v>
      </c>
      <c r="B57" s="3">
        <v>67.968689944397099</v>
      </c>
      <c r="C57" s="4">
        <v>11282</v>
      </c>
      <c r="D57" s="5"/>
      <c r="E57" s="5"/>
    </row>
    <row r="58" spans="1:5" ht="15" customHeight="1">
      <c r="A58" s="2" t="s">
        <v>57</v>
      </c>
      <c r="B58" s="3">
        <v>68.122756012275445</v>
      </c>
      <c r="C58" s="4">
        <v>5297</v>
      </c>
      <c r="D58" s="5"/>
      <c r="E58" s="5"/>
    </row>
    <row r="59" spans="1:5" ht="15" customHeight="1">
      <c r="A59" s="2" t="s">
        <v>58</v>
      </c>
      <c r="B59" s="3">
        <v>68.404133667933948</v>
      </c>
      <c r="C59" s="4">
        <v>88438</v>
      </c>
      <c r="D59" s="5"/>
      <c r="E59" s="5"/>
    </row>
    <row r="60" spans="1:5" ht="15" customHeight="1">
      <c r="A60" s="2" t="s">
        <v>59</v>
      </c>
      <c r="B60" s="3">
        <v>68.804660422766702</v>
      </c>
      <c r="C60" s="4">
        <v>15052</v>
      </c>
      <c r="D60" s="5"/>
      <c r="E60" s="5"/>
    </row>
    <row r="61" spans="1:5" ht="15" customHeight="1">
      <c r="A61" s="2" t="s">
        <v>60</v>
      </c>
      <c r="B61" s="3">
        <v>69.002441028630528</v>
      </c>
      <c r="C61" s="4">
        <v>58241</v>
      </c>
      <c r="D61" s="5"/>
      <c r="E61" s="5"/>
    </row>
    <row r="62" spans="1:5" ht="15" customHeight="1">
      <c r="A62" s="2" t="s">
        <v>61</v>
      </c>
      <c r="B62" s="3">
        <v>69.504691663534643</v>
      </c>
      <c r="C62" s="4">
        <v>19866</v>
      </c>
      <c r="D62" s="5"/>
      <c r="E62" s="5"/>
    </row>
    <row r="63" spans="1:5" ht="15" customHeight="1">
      <c r="A63" s="2" t="s">
        <v>62</v>
      </c>
      <c r="B63" s="3">
        <v>69.725134985267175</v>
      </c>
      <c r="C63" s="4">
        <v>9458</v>
      </c>
      <c r="D63" s="5"/>
      <c r="E63" s="5"/>
    </row>
    <row r="64" spans="1:5" ht="15" customHeight="1">
      <c r="A64" s="2" t="s">
        <v>63</v>
      </c>
      <c r="B64" s="3">
        <v>69.801390446693233</v>
      </c>
      <c r="C64" s="4">
        <v>14407</v>
      </c>
      <c r="D64" s="5"/>
      <c r="E64" s="5"/>
    </row>
    <row r="65" spans="1:5" ht="15" customHeight="1">
      <c r="A65" s="2" t="s">
        <v>64</v>
      </c>
      <c r="B65" s="3">
        <v>69.841156908523956</v>
      </c>
      <c r="C65" s="4">
        <v>18098</v>
      </c>
      <c r="D65" s="5"/>
      <c r="E65" s="5"/>
    </row>
    <row r="66" spans="1:5" ht="15" customHeight="1">
      <c r="A66" s="2" t="s">
        <v>65</v>
      </c>
      <c r="B66" s="3">
        <v>70.129824819623749</v>
      </c>
      <c r="C66" s="4">
        <v>18062</v>
      </c>
      <c r="D66" s="5"/>
      <c r="E66" s="5"/>
    </row>
    <row r="67" spans="1:5" ht="15" customHeight="1">
      <c r="A67" s="2" t="s">
        <v>66</v>
      </c>
      <c r="B67" s="3">
        <v>70.131890842104156</v>
      </c>
      <c r="C67" s="4">
        <v>8990</v>
      </c>
      <c r="D67" s="5"/>
      <c r="E67" s="5"/>
    </row>
    <row r="68" spans="1:5" ht="15" customHeight="1">
      <c r="A68" s="2" t="s">
        <v>67</v>
      </c>
      <c r="B68" s="3">
        <v>70.312562434459977</v>
      </c>
      <c r="C68" s="4">
        <v>20732</v>
      </c>
      <c r="D68" s="5"/>
      <c r="E68" s="5"/>
    </row>
    <row r="69" spans="1:5" ht="15" customHeight="1">
      <c r="A69" s="2" t="s">
        <v>68</v>
      </c>
      <c r="B69" s="3">
        <v>70.450323256450318</v>
      </c>
      <c r="C69" s="4">
        <v>6938</v>
      </c>
      <c r="D69" s="5"/>
      <c r="E69" s="5"/>
    </row>
    <row r="70" spans="1:5" ht="15" customHeight="1">
      <c r="A70" s="2" t="s">
        <v>69</v>
      </c>
      <c r="B70" s="3">
        <v>70.517159263078128</v>
      </c>
      <c r="C70" s="4">
        <v>16068</v>
      </c>
      <c r="D70" s="5"/>
      <c r="E70" s="5"/>
    </row>
    <row r="71" spans="1:5" ht="15" customHeight="1">
      <c r="A71" s="2" t="s">
        <v>70</v>
      </c>
      <c r="B71" s="3">
        <v>70.608502736818821</v>
      </c>
      <c r="C71" s="4">
        <v>4986</v>
      </c>
      <c r="D71" s="5"/>
      <c r="E71" s="5"/>
    </row>
    <row r="72" spans="1:5" ht="15" customHeight="1">
      <c r="A72" s="2" t="s">
        <v>71</v>
      </c>
      <c r="B72" s="3">
        <v>70.6162052600354</v>
      </c>
      <c r="C72" s="4">
        <v>11951</v>
      </c>
      <c r="D72" s="5"/>
      <c r="E72" s="5"/>
    </row>
    <row r="73" spans="1:5" ht="15" customHeight="1">
      <c r="A73" s="2" t="s">
        <v>72</v>
      </c>
      <c r="B73" s="3">
        <v>70.80253493594418</v>
      </c>
      <c r="C73" s="4">
        <v>7575</v>
      </c>
      <c r="D73" s="5"/>
      <c r="E73" s="5"/>
    </row>
    <row r="74" spans="1:5" ht="15" customHeight="1">
      <c r="A74" s="2" t="s">
        <v>73</v>
      </c>
      <c r="B74" s="3">
        <v>71.385910465038307</v>
      </c>
      <c r="C74" s="4">
        <v>7388</v>
      </c>
      <c r="D74" s="5"/>
      <c r="E74" s="5"/>
    </row>
    <row r="75" spans="1:5" ht="15" customHeight="1">
      <c r="A75" s="2" t="s">
        <v>74</v>
      </c>
      <c r="B75" s="3">
        <v>71.505429333456334</v>
      </c>
      <c r="C75" s="4">
        <v>4203</v>
      </c>
      <c r="D75" s="5"/>
      <c r="E75" s="5"/>
    </row>
    <row r="76" spans="1:5" ht="15" customHeight="1">
      <c r="A76" s="2" t="s">
        <v>75</v>
      </c>
      <c r="B76" s="3">
        <v>71.559014295054681</v>
      </c>
      <c r="C76" s="4">
        <v>7490</v>
      </c>
      <c r="D76" s="5"/>
      <c r="E76" s="5"/>
    </row>
    <row r="77" spans="1:5" ht="15" customHeight="1">
      <c r="A77" s="2" t="s">
        <v>76</v>
      </c>
      <c r="B77" s="3">
        <v>71.58405981021312</v>
      </c>
      <c r="C77" s="4">
        <v>1726</v>
      </c>
      <c r="D77" s="5"/>
      <c r="E77" s="5"/>
    </row>
    <row r="78" spans="1:5" ht="15" customHeight="1">
      <c r="A78" s="2" t="s">
        <v>77</v>
      </c>
      <c r="B78" s="3">
        <v>71.915446741242363</v>
      </c>
      <c r="C78" s="4">
        <v>12435</v>
      </c>
      <c r="D78" s="5"/>
      <c r="E78" s="5"/>
    </row>
    <row r="79" spans="1:5" ht="15" customHeight="1">
      <c r="A79" s="2" t="s">
        <v>78</v>
      </c>
      <c r="B79" s="3">
        <v>72.045192153747962</v>
      </c>
      <c r="C79" s="4">
        <v>40493</v>
      </c>
      <c r="D79" s="5"/>
      <c r="E79" s="5"/>
    </row>
    <row r="80" spans="1:5" ht="15" customHeight="1">
      <c r="A80" s="2" t="s">
        <v>79</v>
      </c>
      <c r="B80" s="3">
        <v>72.236528671507045</v>
      </c>
      <c r="C80" s="4">
        <v>17716</v>
      </c>
      <c r="D80" s="5"/>
      <c r="E80" s="5"/>
    </row>
    <row r="81" spans="1:5" ht="15" customHeight="1">
      <c r="A81" s="2" t="s">
        <v>80</v>
      </c>
      <c r="B81" s="3">
        <v>72.273069752106224</v>
      </c>
      <c r="C81" s="4">
        <v>13881</v>
      </c>
      <c r="D81" s="5"/>
      <c r="E81" s="5"/>
    </row>
    <row r="82" spans="1:5" ht="15" customHeight="1">
      <c r="A82" s="2" t="s">
        <v>81</v>
      </c>
      <c r="B82" s="3">
        <v>72.400298600757907</v>
      </c>
      <c r="C82" s="4">
        <v>6049</v>
      </c>
      <c r="D82" s="5"/>
      <c r="E82" s="5"/>
    </row>
    <row r="83" spans="1:5" ht="15" customHeight="1">
      <c r="A83" s="2" t="s">
        <v>82</v>
      </c>
      <c r="B83" s="3">
        <v>72.504588774859002</v>
      </c>
      <c r="C83" s="4">
        <v>9126</v>
      </c>
      <c r="D83" s="5"/>
      <c r="E83" s="5"/>
    </row>
    <row r="84" spans="1:5" ht="15" customHeight="1">
      <c r="A84" s="2" t="s">
        <v>83</v>
      </c>
      <c r="B84" s="3">
        <v>72.730510234122278</v>
      </c>
      <c r="C84" s="4">
        <v>19738</v>
      </c>
      <c r="D84" s="5"/>
      <c r="E84" s="5"/>
    </row>
    <row r="85" spans="1:5" ht="15" customHeight="1">
      <c r="A85" s="2" t="s">
        <v>84</v>
      </c>
      <c r="B85" s="3">
        <v>72.848431282693795</v>
      </c>
      <c r="C85" s="4">
        <v>2305</v>
      </c>
      <c r="D85" s="5"/>
      <c r="E85" s="5"/>
    </row>
    <row r="86" spans="1:5" ht="15" customHeight="1">
      <c r="A86" s="2" t="s">
        <v>85</v>
      </c>
      <c r="B86" s="3">
        <v>72.911333066223278</v>
      </c>
      <c r="C86" s="4">
        <v>1787</v>
      </c>
      <c r="D86" s="5"/>
      <c r="E86" s="5"/>
    </row>
    <row r="87" spans="1:5" ht="15" customHeight="1">
      <c r="A87" s="2" t="s">
        <v>86</v>
      </c>
      <c r="B87" s="3">
        <v>73.434921679118403</v>
      </c>
      <c r="C87" s="4">
        <v>19571</v>
      </c>
      <c r="D87" s="5"/>
      <c r="E87" s="5"/>
    </row>
    <row r="88" spans="1:5" ht="15" customHeight="1">
      <c r="A88" s="2" t="s">
        <v>87</v>
      </c>
      <c r="B88" s="3">
        <v>73.503458208358737</v>
      </c>
      <c r="C88" s="4">
        <v>5563</v>
      </c>
      <c r="D88" s="5"/>
      <c r="E88" s="5"/>
    </row>
    <row r="89" spans="1:5" ht="15" customHeight="1">
      <c r="A89" s="2" t="s">
        <v>88</v>
      </c>
      <c r="B89" s="3">
        <v>73.591831235597184</v>
      </c>
      <c r="C89" s="4">
        <v>23511</v>
      </c>
      <c r="D89" s="5"/>
      <c r="E89" s="5"/>
    </row>
    <row r="90" spans="1:5" ht="15" customHeight="1">
      <c r="A90" s="2" t="s">
        <v>89</v>
      </c>
      <c r="B90" s="3">
        <v>73.710542524567856</v>
      </c>
      <c r="C90" s="4">
        <v>25268</v>
      </c>
      <c r="D90" s="5"/>
      <c r="E90" s="5"/>
    </row>
    <row r="91" spans="1:5" ht="15" customHeight="1">
      <c r="A91" s="2" t="s">
        <v>90</v>
      </c>
      <c r="B91" s="3">
        <v>73.717392985417234</v>
      </c>
      <c r="C91" s="4">
        <v>4317</v>
      </c>
      <c r="D91" s="5"/>
      <c r="E91" s="5"/>
    </row>
    <row r="92" spans="1:5" ht="15" customHeight="1">
      <c r="A92" s="2" t="s">
        <v>91</v>
      </c>
      <c r="B92" s="3">
        <v>73.864845337149148</v>
      </c>
      <c r="C92" s="4">
        <v>61171</v>
      </c>
      <c r="D92" s="5"/>
      <c r="E92" s="5"/>
    </row>
    <row r="93" spans="1:5" ht="15" customHeight="1">
      <c r="A93" s="2" t="s">
        <v>92</v>
      </c>
      <c r="B93" s="3">
        <v>73.938873409553992</v>
      </c>
      <c r="C93" s="4">
        <v>1922</v>
      </c>
      <c r="D93" s="5"/>
      <c r="E93" s="5"/>
    </row>
    <row r="94" spans="1:5" ht="15" customHeight="1">
      <c r="A94" s="2" t="s">
        <v>93</v>
      </c>
      <c r="B94" s="3">
        <v>74.057863862545219</v>
      </c>
      <c r="C94" s="4">
        <v>3731</v>
      </c>
      <c r="D94" s="5"/>
      <c r="E94" s="5"/>
    </row>
    <row r="95" spans="1:5" ht="15" customHeight="1">
      <c r="A95" s="2" t="s">
        <v>94</v>
      </c>
      <c r="B95" s="3">
        <v>74.224826391474181</v>
      </c>
      <c r="C95" s="4">
        <v>43069</v>
      </c>
      <c r="D95" s="5"/>
      <c r="E95" s="5"/>
    </row>
    <row r="96" spans="1:5" ht="15" customHeight="1">
      <c r="A96" s="2" t="s">
        <v>95</v>
      </c>
      <c r="B96" s="3">
        <v>74.707308360346872</v>
      </c>
      <c r="C96" s="4">
        <v>3581</v>
      </c>
      <c r="D96" s="5"/>
      <c r="E96" s="5"/>
    </row>
    <row r="97" spans="1:5" ht="15" customHeight="1">
      <c r="A97" s="2" t="s">
        <v>96</v>
      </c>
      <c r="B97" s="3">
        <v>74.849734304999615</v>
      </c>
      <c r="C97" s="4">
        <v>1101</v>
      </c>
      <c r="D97" s="5"/>
      <c r="E97" s="5"/>
    </row>
    <row r="98" spans="1:5" ht="15" customHeight="1">
      <c r="A98" s="2" t="s">
        <v>97</v>
      </c>
      <c r="B98" s="3">
        <v>74.852016005697095</v>
      </c>
      <c r="C98" s="4">
        <v>4247</v>
      </c>
      <c r="D98" s="5"/>
      <c r="E98" s="5"/>
    </row>
    <row r="99" spans="1:5" ht="15" customHeight="1">
      <c r="A99" s="2" t="s">
        <v>98</v>
      </c>
      <c r="B99" s="3">
        <v>74.870535219864479</v>
      </c>
      <c r="C99" s="4">
        <v>9975</v>
      </c>
      <c r="D99" s="5"/>
      <c r="E99" s="5"/>
    </row>
    <row r="100" spans="1:5" ht="15" customHeight="1">
      <c r="A100" s="2" t="s">
        <v>99</v>
      </c>
      <c r="B100" s="3">
        <v>75.073719837935315</v>
      </c>
      <c r="C100" s="4">
        <v>10179</v>
      </c>
      <c r="D100" s="5"/>
      <c r="E100" s="5"/>
    </row>
    <row r="101" spans="1:5" ht="15" customHeight="1">
      <c r="A101" s="2" t="s">
        <v>100</v>
      </c>
      <c r="B101" s="3">
        <v>75.236873573186031</v>
      </c>
      <c r="C101" s="4">
        <v>19904</v>
      </c>
      <c r="D101" s="5"/>
      <c r="E101" s="5"/>
    </row>
    <row r="102" spans="1:5" ht="15" customHeight="1">
      <c r="A102" s="2" t="s">
        <v>101</v>
      </c>
      <c r="B102" s="3">
        <v>75.603954493718675</v>
      </c>
      <c r="C102" s="4">
        <v>6683</v>
      </c>
      <c r="D102" s="5"/>
      <c r="E102" s="5"/>
    </row>
    <row r="103" spans="1:5" ht="15" customHeight="1">
      <c r="A103" s="2" t="s">
        <v>102</v>
      </c>
      <c r="B103" s="3">
        <v>75.614381150207663</v>
      </c>
      <c r="C103" s="4">
        <v>4338</v>
      </c>
      <c r="D103" s="5"/>
      <c r="E103" s="5"/>
    </row>
    <row r="104" spans="1:5" ht="15" customHeight="1">
      <c r="A104" s="2" t="s">
        <v>103</v>
      </c>
      <c r="B104" s="3">
        <v>75.623940168575047</v>
      </c>
      <c r="C104" s="4">
        <v>10292</v>
      </c>
      <c r="D104" s="5"/>
      <c r="E104" s="5"/>
    </row>
    <row r="105" spans="1:5" ht="15" customHeight="1">
      <c r="A105" s="2" t="s">
        <v>104</v>
      </c>
      <c r="B105" s="3">
        <v>75.722327918063115</v>
      </c>
      <c r="C105" s="4">
        <v>34427</v>
      </c>
      <c r="D105" s="5"/>
      <c r="E105" s="5"/>
    </row>
    <row r="106" spans="1:5" ht="15" customHeight="1">
      <c r="A106" s="2" t="s">
        <v>105</v>
      </c>
      <c r="B106" s="3">
        <v>75.759175689682522</v>
      </c>
      <c r="C106" s="4">
        <v>5234</v>
      </c>
      <c r="D106" s="5"/>
      <c r="E106" s="5"/>
    </row>
    <row r="107" spans="1:5" ht="15" customHeight="1">
      <c r="A107" s="2" t="s">
        <v>106</v>
      </c>
      <c r="B107" s="3">
        <v>75.7971035926642</v>
      </c>
      <c r="C107" s="4">
        <v>9158</v>
      </c>
      <c r="D107" s="5"/>
      <c r="E107" s="5"/>
    </row>
    <row r="108" spans="1:5" ht="15" customHeight="1">
      <c r="A108" s="2" t="s">
        <v>107</v>
      </c>
      <c r="B108" s="3">
        <v>75.832867568572595</v>
      </c>
      <c r="C108" s="4">
        <v>7635</v>
      </c>
      <c r="D108" s="5"/>
      <c r="E108" s="5"/>
    </row>
    <row r="109" spans="1:5" ht="15" customHeight="1">
      <c r="A109" s="2" t="s">
        <v>108</v>
      </c>
      <c r="B109" s="3">
        <v>76.097972836903679</v>
      </c>
      <c r="C109" s="4">
        <v>2406</v>
      </c>
      <c r="D109" s="5"/>
      <c r="E109" s="5"/>
    </row>
    <row r="110" spans="1:5" ht="15" customHeight="1">
      <c r="A110" s="2" t="s">
        <v>109</v>
      </c>
      <c r="B110" s="3">
        <v>76.109101836406609</v>
      </c>
      <c r="C110" s="4">
        <v>26391</v>
      </c>
      <c r="D110" s="5"/>
      <c r="E110" s="5"/>
    </row>
    <row r="111" spans="1:5" ht="15" customHeight="1">
      <c r="A111" s="2" t="s">
        <v>110</v>
      </c>
      <c r="B111" s="3">
        <v>76.163480874138543</v>
      </c>
      <c r="C111" s="4">
        <v>47648</v>
      </c>
      <c r="D111" s="5"/>
      <c r="E111" s="5"/>
    </row>
    <row r="112" spans="1:5" ht="15" customHeight="1">
      <c r="A112" s="2" t="s">
        <v>111</v>
      </c>
      <c r="B112" s="3">
        <v>76.259178127242834</v>
      </c>
      <c r="C112" s="4">
        <v>3977</v>
      </c>
      <c r="D112" s="5"/>
      <c r="E112" s="5"/>
    </row>
    <row r="113" spans="1:5" ht="15" customHeight="1">
      <c r="A113" s="2" t="s">
        <v>112</v>
      </c>
      <c r="B113" s="3">
        <v>76.299405916406073</v>
      </c>
      <c r="C113" s="4">
        <v>6970</v>
      </c>
      <c r="D113" s="5"/>
      <c r="E113" s="5"/>
    </row>
    <row r="114" spans="1:5" ht="15" customHeight="1">
      <c r="A114" s="2" t="s">
        <v>113</v>
      </c>
      <c r="B114" s="3">
        <v>76.609831492027382</v>
      </c>
      <c r="C114" s="4">
        <v>6041</v>
      </c>
      <c r="D114" s="5"/>
      <c r="E114" s="5"/>
    </row>
    <row r="115" spans="1:5" ht="15" customHeight="1">
      <c r="A115" s="2" t="s">
        <v>114</v>
      </c>
      <c r="B115" s="3">
        <v>76.761625336414809</v>
      </c>
      <c r="C115" s="4">
        <v>7964</v>
      </c>
      <c r="D115" s="5"/>
      <c r="E115" s="5"/>
    </row>
    <row r="116" spans="1:5" ht="15" customHeight="1">
      <c r="A116" s="2" t="s">
        <v>115</v>
      </c>
      <c r="B116" s="3">
        <v>76.960040344750709</v>
      </c>
      <c r="C116" s="4">
        <v>2388</v>
      </c>
      <c r="D116" s="5"/>
      <c r="E116" s="5"/>
    </row>
    <row r="117" spans="1:5" ht="15" customHeight="1">
      <c r="A117" s="2" t="s">
        <v>116</v>
      </c>
      <c r="B117" s="3">
        <v>76.966696920444775</v>
      </c>
      <c r="C117" s="4">
        <v>1758</v>
      </c>
      <c r="D117" s="5"/>
      <c r="E117" s="5"/>
    </row>
    <row r="118" spans="1:5" ht="15" customHeight="1">
      <c r="A118" s="2" t="s">
        <v>117</v>
      </c>
      <c r="B118" s="3">
        <v>77.009200740804502</v>
      </c>
      <c r="C118" s="4">
        <v>29044</v>
      </c>
      <c r="D118" s="5"/>
      <c r="E118" s="5"/>
    </row>
    <row r="119" spans="1:5" ht="15" customHeight="1">
      <c r="A119" s="2" t="s">
        <v>118</v>
      </c>
      <c r="B119" s="3">
        <v>77.143873150519553</v>
      </c>
      <c r="C119" s="4">
        <v>18269</v>
      </c>
      <c r="D119" s="5"/>
      <c r="E119" s="5"/>
    </row>
    <row r="120" spans="1:5" ht="15" customHeight="1">
      <c r="A120" s="2" t="s">
        <v>119</v>
      </c>
      <c r="B120" s="3">
        <v>77.205643022147072</v>
      </c>
      <c r="C120" s="4">
        <v>14005</v>
      </c>
      <c r="D120" s="5"/>
      <c r="E120" s="5"/>
    </row>
    <row r="121" spans="1:5" ht="15" customHeight="1">
      <c r="A121" s="2" t="s">
        <v>120</v>
      </c>
      <c r="B121" s="3">
        <v>77.457217107079117</v>
      </c>
      <c r="C121" s="4">
        <v>19249</v>
      </c>
      <c r="D121" s="5"/>
      <c r="E121" s="5"/>
    </row>
    <row r="122" spans="1:5" ht="15" customHeight="1">
      <c r="A122" s="2" t="s">
        <v>121</v>
      </c>
      <c r="B122" s="3">
        <v>77.630345899126297</v>
      </c>
      <c r="C122" s="4">
        <v>1540</v>
      </c>
      <c r="D122" s="5"/>
      <c r="E122" s="5"/>
    </row>
    <row r="123" spans="1:5" ht="15" customHeight="1">
      <c r="A123" s="2" t="s">
        <v>122</v>
      </c>
      <c r="B123" s="3">
        <v>77.644262257833617</v>
      </c>
      <c r="C123" s="4">
        <v>5571</v>
      </c>
      <c r="D123" s="5"/>
      <c r="E123" s="5"/>
    </row>
    <row r="124" spans="1:5" ht="15" customHeight="1">
      <c r="A124" s="2" t="s">
        <v>123</v>
      </c>
      <c r="B124" s="3">
        <v>77.694257642790348</v>
      </c>
      <c r="C124" s="4">
        <v>9301</v>
      </c>
      <c r="D124" s="5"/>
      <c r="E124" s="5"/>
    </row>
    <row r="125" spans="1:5" ht="15" customHeight="1">
      <c r="A125" s="2" t="s">
        <v>124</v>
      </c>
      <c r="B125" s="3">
        <v>77.766031733990332</v>
      </c>
      <c r="C125" s="4">
        <v>13956</v>
      </c>
      <c r="D125" s="5"/>
      <c r="E125" s="5"/>
    </row>
    <row r="126" spans="1:5" ht="15" customHeight="1">
      <c r="A126" s="2" t="s">
        <v>125</v>
      </c>
      <c r="B126" s="3">
        <v>78.002973287763197</v>
      </c>
      <c r="C126" s="4">
        <v>3422</v>
      </c>
      <c r="D126" s="5"/>
      <c r="E126" s="5"/>
    </row>
    <row r="127" spans="1:5" ht="15" customHeight="1">
      <c r="A127" s="2" t="s">
        <v>126</v>
      </c>
      <c r="B127" s="3">
        <v>78.415064624835139</v>
      </c>
      <c r="C127" s="4">
        <v>2114</v>
      </c>
      <c r="D127" s="5"/>
      <c r="E127" s="5"/>
    </row>
    <row r="128" spans="1:5" ht="15" customHeight="1">
      <c r="A128" s="2" t="s">
        <v>127</v>
      </c>
      <c r="B128" s="3">
        <v>78.740173102055195</v>
      </c>
      <c r="C128" s="4">
        <v>29179</v>
      </c>
      <c r="D128" s="5"/>
      <c r="E128" s="5"/>
    </row>
    <row r="129" spans="1:5" ht="15" customHeight="1">
      <c r="A129" s="2" t="s">
        <v>128</v>
      </c>
      <c r="B129" s="3">
        <v>78.744920714568636</v>
      </c>
      <c r="C129" s="4">
        <v>9543</v>
      </c>
      <c r="D129" s="5"/>
      <c r="E129" s="5"/>
    </row>
    <row r="130" spans="1:5" ht="15" customHeight="1">
      <c r="A130" s="2" t="s">
        <v>129</v>
      </c>
      <c r="B130" s="3">
        <v>78.80672292071624</v>
      </c>
      <c r="C130" s="4">
        <v>15405</v>
      </c>
      <c r="D130" s="5"/>
      <c r="E130" s="5"/>
    </row>
    <row r="131" spans="1:5" ht="15" customHeight="1">
      <c r="A131" s="2" t="s">
        <v>130</v>
      </c>
      <c r="B131" s="3">
        <v>78.974606072376886</v>
      </c>
      <c r="C131" s="4">
        <v>60477</v>
      </c>
      <c r="D131" s="5"/>
      <c r="E131" s="5"/>
    </row>
    <row r="132" spans="1:5" ht="15" customHeight="1">
      <c r="A132" s="2" t="s">
        <v>131</v>
      </c>
      <c r="B132" s="3">
        <v>79.222126895742406</v>
      </c>
      <c r="C132" s="4">
        <v>4151</v>
      </c>
      <c r="D132" s="5"/>
      <c r="E132" s="5"/>
    </row>
    <row r="133" spans="1:5" ht="15" customHeight="1">
      <c r="A133" s="2" t="s">
        <v>132</v>
      </c>
      <c r="B133" s="3">
        <v>79.242726575320106</v>
      </c>
      <c r="C133" s="4">
        <v>9686</v>
      </c>
      <c r="D133" s="5"/>
      <c r="E133" s="5"/>
    </row>
    <row r="134" spans="1:5" ht="15" customHeight="1">
      <c r="A134" s="2" t="s">
        <v>133</v>
      </c>
      <c r="B134" s="3">
        <v>79.44301080619482</v>
      </c>
      <c r="C134" s="4">
        <v>5148</v>
      </c>
      <c r="D134" s="5"/>
      <c r="E134" s="5"/>
    </row>
    <row r="135" spans="1:5" ht="15" customHeight="1">
      <c r="A135" s="2" t="s">
        <v>134</v>
      </c>
      <c r="B135" s="3">
        <v>79.453943756217996</v>
      </c>
      <c r="C135" s="4">
        <v>18209</v>
      </c>
      <c r="D135" s="5"/>
      <c r="E135" s="5"/>
    </row>
    <row r="136" spans="1:5" ht="15" customHeight="1">
      <c r="A136" s="2" t="s">
        <v>135</v>
      </c>
      <c r="B136" s="3">
        <v>79.976953825587074</v>
      </c>
      <c r="C136" s="4">
        <v>3743</v>
      </c>
      <c r="D136" s="5"/>
      <c r="E136" s="5"/>
    </row>
    <row r="137" spans="1:5" ht="15" customHeight="1">
      <c r="A137" s="2" t="s">
        <v>136</v>
      </c>
      <c r="B137" s="3">
        <v>80.143180096012927</v>
      </c>
      <c r="C137" s="4">
        <v>28142</v>
      </c>
      <c r="D137" s="5"/>
      <c r="E137" s="5"/>
    </row>
    <row r="138" spans="1:5" ht="15" customHeight="1">
      <c r="A138" s="2" t="s">
        <v>137</v>
      </c>
      <c r="B138" s="3">
        <v>80.233467633846317</v>
      </c>
      <c r="C138" s="4">
        <v>15735</v>
      </c>
      <c r="D138" s="5"/>
      <c r="E138" s="5"/>
    </row>
    <row r="139" spans="1:5" ht="15" customHeight="1">
      <c r="A139" s="2" t="s">
        <v>138</v>
      </c>
      <c r="B139" s="3">
        <v>80.503572657731951</v>
      </c>
      <c r="C139" s="4">
        <v>2603</v>
      </c>
      <c r="D139" s="5"/>
      <c r="E139" s="5"/>
    </row>
    <row r="140" spans="1:5" ht="15" customHeight="1">
      <c r="A140" s="2" t="s">
        <v>139</v>
      </c>
      <c r="B140" s="3">
        <v>81.016481076824789</v>
      </c>
      <c r="C140" s="4">
        <v>17370</v>
      </c>
      <c r="D140" s="5"/>
      <c r="E140" s="5"/>
    </row>
    <row r="141" spans="1:5" ht="15" customHeight="1">
      <c r="A141" s="2" t="s">
        <v>140</v>
      </c>
      <c r="B141" s="3">
        <v>81.546807989523487</v>
      </c>
      <c r="C141" s="4">
        <v>2962</v>
      </c>
      <c r="D141" s="5"/>
      <c r="E141" s="5"/>
    </row>
    <row r="142" spans="1:5" ht="15" customHeight="1">
      <c r="A142" s="2" t="s">
        <v>141</v>
      </c>
      <c r="B142" s="3">
        <v>81.940338098624835</v>
      </c>
      <c r="C142" s="4">
        <v>30562</v>
      </c>
      <c r="D142" s="5"/>
      <c r="E142" s="5"/>
    </row>
    <row r="143" spans="1:5" ht="15" customHeight="1">
      <c r="A143" s="2" t="s">
        <v>142</v>
      </c>
      <c r="B143" s="3">
        <v>82.02019274475947</v>
      </c>
      <c r="C143" s="4">
        <v>3052</v>
      </c>
      <c r="D143" s="5"/>
      <c r="E143" s="5"/>
    </row>
    <row r="144" spans="1:5" ht="15" customHeight="1">
      <c r="A144" s="2" t="s">
        <v>143</v>
      </c>
      <c r="B144" s="3">
        <v>82.143906987658937</v>
      </c>
      <c r="C144" s="4">
        <v>44654</v>
      </c>
      <c r="D144" s="5"/>
      <c r="E144" s="5"/>
    </row>
    <row r="145" spans="1:5" ht="15" customHeight="1">
      <c r="A145" s="2" t="s">
        <v>144</v>
      </c>
      <c r="B145" s="3">
        <v>82.218655759742859</v>
      </c>
      <c r="C145" s="4">
        <v>7308</v>
      </c>
      <c r="D145" s="5"/>
      <c r="E145" s="5"/>
    </row>
    <row r="146" spans="1:5" ht="15" customHeight="1">
      <c r="A146" s="2" t="s">
        <v>145</v>
      </c>
      <c r="B146" s="3">
        <v>82.241545102697586</v>
      </c>
      <c r="C146" s="4">
        <v>11242</v>
      </c>
      <c r="D146" s="5"/>
      <c r="E146" s="5"/>
    </row>
    <row r="147" spans="1:5" ht="15" customHeight="1">
      <c r="A147" s="2" t="s">
        <v>146</v>
      </c>
      <c r="B147" s="3">
        <v>83.390313033721199</v>
      </c>
      <c r="C147" s="4">
        <v>5492</v>
      </c>
      <c r="D147" s="5"/>
      <c r="E147" s="5"/>
    </row>
    <row r="148" spans="1:5" ht="15" customHeight="1">
      <c r="A148" s="2" t="s">
        <v>147</v>
      </c>
      <c r="B148" s="3">
        <v>83.473035154818291</v>
      </c>
      <c r="C148" s="4">
        <v>18545</v>
      </c>
      <c r="D148" s="5"/>
      <c r="E148" s="5"/>
    </row>
    <row r="149" spans="1:5" ht="15" customHeight="1">
      <c r="A149" s="2" t="s">
        <v>148</v>
      </c>
      <c r="B149" s="3">
        <v>83.530194300968915</v>
      </c>
      <c r="C149" s="4">
        <v>4726</v>
      </c>
      <c r="D149" s="5"/>
      <c r="E149" s="5"/>
    </row>
    <row r="150" spans="1:5" ht="15" customHeight="1">
      <c r="A150" s="2" t="s">
        <v>149</v>
      </c>
      <c r="B150" s="3">
        <v>83.830289164979703</v>
      </c>
      <c r="C150" s="4">
        <v>15602</v>
      </c>
      <c r="D150" s="5"/>
      <c r="E150" s="5"/>
    </row>
    <row r="151" spans="1:5" ht="15" customHeight="1">
      <c r="A151" s="2" t="s">
        <v>150</v>
      </c>
      <c r="B151" s="3">
        <v>84.128845899377581</v>
      </c>
      <c r="C151" s="4">
        <v>6403</v>
      </c>
      <c r="D151" s="5"/>
      <c r="E151" s="5"/>
    </row>
    <row r="152" spans="1:5" ht="15" customHeight="1">
      <c r="A152" s="2" t="s">
        <v>151</v>
      </c>
      <c r="B152" s="3">
        <v>84.3060596107116</v>
      </c>
      <c r="C152" s="4">
        <v>11444</v>
      </c>
      <c r="D152" s="5"/>
      <c r="E152" s="5"/>
    </row>
    <row r="153" spans="1:5" ht="15" customHeight="1">
      <c r="A153" s="2" t="s">
        <v>139</v>
      </c>
      <c r="B153" s="3">
        <v>85.166543439014774</v>
      </c>
      <c r="C153" s="5"/>
      <c r="D153" s="5"/>
      <c r="E153" s="5"/>
    </row>
    <row r="154" spans="1:5" ht="15" customHeight="1">
      <c r="A154" s="2" t="s">
        <v>152</v>
      </c>
      <c r="B154" s="3">
        <v>85.278753055264417</v>
      </c>
      <c r="C154" s="4">
        <v>28026</v>
      </c>
      <c r="D154" s="5"/>
      <c r="E154" s="5"/>
    </row>
    <row r="155" spans="1:5" ht="15" customHeight="1">
      <c r="A155" s="2" t="s">
        <v>153</v>
      </c>
      <c r="B155" s="3">
        <v>85.314420576764817</v>
      </c>
      <c r="C155" s="4">
        <v>18584</v>
      </c>
      <c r="D155" s="5"/>
      <c r="E155" s="5"/>
    </row>
    <row r="156" spans="1:5" ht="15" customHeight="1">
      <c r="A156" s="2" t="s">
        <v>154</v>
      </c>
      <c r="B156" s="3">
        <v>86.507610600212956</v>
      </c>
      <c r="C156" s="4">
        <v>11162</v>
      </c>
      <c r="D156" s="5"/>
      <c r="E156" s="5"/>
    </row>
    <row r="157" spans="1:5" ht="15" customHeight="1">
      <c r="A157" s="2" t="s">
        <v>155</v>
      </c>
      <c r="B157" s="3">
        <v>87.126565072686859</v>
      </c>
      <c r="C157" s="4">
        <v>2976</v>
      </c>
      <c r="D157" s="5"/>
      <c r="E157" s="5"/>
    </row>
    <row r="158" spans="1:5" ht="15" customHeight="1">
      <c r="A158" s="2" t="s">
        <v>156</v>
      </c>
      <c r="B158" s="3">
        <v>87.736095694431384</v>
      </c>
      <c r="C158" s="4">
        <v>9584</v>
      </c>
      <c r="D158" s="5"/>
      <c r="E158" s="5"/>
    </row>
    <row r="159" spans="1:5" ht="15" customHeight="1">
      <c r="A159" s="2" t="s">
        <v>157</v>
      </c>
      <c r="B159" s="3">
        <v>88.425982209581576</v>
      </c>
      <c r="C159" s="4">
        <v>12683</v>
      </c>
      <c r="D159" s="5"/>
      <c r="E159" s="5"/>
    </row>
    <row r="160" spans="1:5" ht="15" customHeight="1">
      <c r="A160" s="2" t="s">
        <v>158</v>
      </c>
      <c r="B160" s="3">
        <v>88.802459305818701</v>
      </c>
      <c r="C160" s="4">
        <v>3578</v>
      </c>
      <c r="D160" s="5"/>
      <c r="E160" s="5"/>
    </row>
    <row r="161" spans="1:5" ht="15" customHeight="1">
      <c r="A161" s="2" t="s">
        <v>159</v>
      </c>
      <c r="B161" s="3">
        <v>90.119487692153001</v>
      </c>
      <c r="C161" s="4">
        <v>2327</v>
      </c>
      <c r="D161" s="5"/>
      <c r="E161" s="5"/>
    </row>
    <row r="162" spans="1:5" ht="15" customHeight="1">
      <c r="A162" s="2" t="s">
        <v>160</v>
      </c>
      <c r="B162" s="3">
        <v>92.037049736454705</v>
      </c>
      <c r="C162" s="4">
        <v>12498</v>
      </c>
      <c r="D162" s="5"/>
      <c r="E162" s="5"/>
    </row>
    <row r="163" spans="1:5" ht="15" customHeight="1">
      <c r="A163" s="2" t="s">
        <v>161</v>
      </c>
      <c r="B163" s="3">
        <v>92.726255519958386</v>
      </c>
      <c r="C163" s="4">
        <v>3519</v>
      </c>
      <c r="D163" s="5"/>
      <c r="E163" s="5"/>
    </row>
    <row r="164" spans="1:5" ht="15" customHeight="1">
      <c r="A164" s="2" t="s">
        <v>162</v>
      </c>
      <c r="B164" s="3">
        <v>93.753819597305807</v>
      </c>
      <c r="C164" s="4">
        <v>7603</v>
      </c>
      <c r="D164" s="5"/>
      <c r="E164" s="5"/>
    </row>
    <row r="165" spans="1:5" ht="15" customHeight="1">
      <c r="A165" s="2" t="s">
        <v>163</v>
      </c>
      <c r="B165" s="3">
        <v>95.57200656876978</v>
      </c>
      <c r="C165" s="4">
        <v>1461</v>
      </c>
      <c r="D165" s="5"/>
      <c r="E165" s="5"/>
    </row>
    <row r="166" spans="1:5" ht="15" customHeight="1">
      <c r="A166" s="2" t="s">
        <v>164</v>
      </c>
      <c r="B166" s="3">
        <v>95.982649550516072</v>
      </c>
      <c r="C166" s="4">
        <v>1420</v>
      </c>
      <c r="D166" s="5"/>
      <c r="E166" s="5"/>
    </row>
    <row r="167" spans="1:5" ht="15" customHeight="1">
      <c r="A167" s="2" t="s">
        <v>165</v>
      </c>
      <c r="B167" s="3">
        <v>97.500317102388848</v>
      </c>
      <c r="C167" s="4">
        <v>1618</v>
      </c>
      <c r="D167" s="5"/>
      <c r="E167" s="5"/>
    </row>
    <row r="168" spans="1:5" ht="15" customHeight="1">
      <c r="A168" s="2" t="s">
        <v>166</v>
      </c>
      <c r="B168" s="3">
        <v>99.410692974779224</v>
      </c>
      <c r="C168" s="4">
        <v>1727</v>
      </c>
      <c r="D168" s="5"/>
      <c r="E168" s="5"/>
    </row>
  </sheetData>
  <pageMargins left="0.7" right="0.7" top="0.75" bottom="0.75" header="0.3" footer="0.3"/>
  <pageSetup orientation="portrait"/>
  <headerFooter>
    <oddFooter>&amp;C&amp;"Helvetica,Regular"&amp;12&amp;K000000&amp;P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337"/>
  <sheetViews>
    <sheetView showGridLines="0" tabSelected="1" workbookViewId="0">
      <selection activeCell="A8" sqref="A8"/>
    </sheetView>
  </sheetViews>
  <sheetFormatPr baseColWidth="10" defaultColWidth="9.1640625" defaultRowHeight="14" customHeight="1"/>
  <cols>
    <col min="1" max="1" width="13.5" style="7" customWidth="1"/>
    <col min="2" max="2" width="44" style="7" customWidth="1"/>
    <col min="3" max="3" width="13.6640625" style="7" customWidth="1"/>
    <col min="4" max="4" width="10.1640625" style="7" customWidth="1"/>
    <col min="5" max="6" width="11" style="7" customWidth="1"/>
    <col min="7" max="7" width="15.33203125" style="7" customWidth="1"/>
    <col min="8" max="8" width="17.33203125" style="7" customWidth="1"/>
    <col min="9" max="9" width="14.1640625" style="7" customWidth="1"/>
    <col min="10" max="10" width="17.6640625" style="7" customWidth="1"/>
    <col min="11" max="11" width="18" style="7" customWidth="1"/>
    <col min="12" max="12" width="14.1640625" style="7" customWidth="1"/>
    <col min="13" max="13" width="11.33203125" style="7" customWidth="1"/>
    <col min="14" max="14" width="12.83203125" style="7" customWidth="1"/>
    <col min="15" max="15" width="17.6640625" style="7" customWidth="1"/>
    <col min="16" max="16" width="15.5" style="7" customWidth="1"/>
    <col min="17" max="17" width="14.1640625" style="7" customWidth="1"/>
    <col min="18" max="18" width="13.83203125" style="7" customWidth="1"/>
    <col min="19" max="22" width="14.1640625" style="7" customWidth="1"/>
    <col min="23" max="23" width="12.1640625" style="7" customWidth="1"/>
    <col min="24" max="24" width="13" style="7" customWidth="1"/>
    <col min="25" max="25" width="14.1640625" style="7" customWidth="1"/>
    <col min="26" max="26" width="13.83203125" style="7" customWidth="1"/>
    <col min="27" max="28" width="14.1640625" style="7" customWidth="1"/>
    <col min="29" max="29" width="13" style="7" customWidth="1"/>
    <col min="30" max="30" width="9.5" style="7" customWidth="1"/>
    <col min="31" max="31" width="13" style="7" customWidth="1"/>
    <col min="32" max="32" width="9.6640625" style="7" customWidth="1"/>
    <col min="33" max="34" width="13" style="7" customWidth="1"/>
    <col min="35" max="35" width="11.5" style="7" customWidth="1"/>
    <col min="36" max="36" width="10.6640625" style="7" customWidth="1"/>
    <col min="37" max="37" width="11.33203125" style="7" customWidth="1"/>
    <col min="38" max="38" width="14.33203125" style="7" customWidth="1"/>
    <col min="39" max="39" width="14" style="7" customWidth="1"/>
    <col min="40" max="40" width="9.5" style="7" customWidth="1"/>
    <col min="41" max="42" width="9.1640625" style="7" customWidth="1"/>
    <col min="43" max="43" width="12.83203125" style="7" customWidth="1"/>
    <col min="44" max="44" width="16.5" style="7" customWidth="1"/>
    <col min="45" max="45" width="10.33203125" style="7" customWidth="1"/>
    <col min="46" max="46" width="9.33203125" style="7" customWidth="1"/>
    <col min="47" max="47" width="11.33203125" style="7" customWidth="1"/>
    <col min="48" max="48" width="11.1640625" style="7" customWidth="1"/>
    <col min="49" max="50" width="12" style="7" customWidth="1"/>
    <col min="51" max="51" width="11.33203125" style="7" customWidth="1"/>
    <col min="52" max="52" width="12.83203125" style="7" customWidth="1"/>
    <col min="53" max="53" width="11.5" style="7" customWidth="1"/>
    <col min="54" max="54" width="10.5" style="7" customWidth="1"/>
    <col min="55" max="55" width="13.6640625" style="7" customWidth="1"/>
    <col min="56" max="56" width="12.83203125" style="7" customWidth="1"/>
    <col min="57" max="57" width="20" style="7" customWidth="1"/>
    <col min="58" max="58" width="20.5" style="7" customWidth="1"/>
    <col min="59" max="59" width="21.5" style="7" customWidth="1"/>
    <col min="60" max="60" width="15.5" style="7" customWidth="1"/>
    <col min="61" max="61" width="14.1640625" style="7" customWidth="1"/>
    <col min="62" max="62" width="2.5" style="7" customWidth="1"/>
    <col min="63" max="63" width="9" style="7" customWidth="1"/>
    <col min="64" max="64" width="3.5" style="7" customWidth="1"/>
    <col min="65" max="65" width="8.33203125" style="7" customWidth="1"/>
    <col min="66" max="66" width="7.83203125" style="7" customWidth="1"/>
    <col min="67" max="67" width="10" style="7" customWidth="1"/>
    <col min="68" max="68" width="2.5" style="7" customWidth="1"/>
    <col min="69" max="69" width="4.6640625" style="7" customWidth="1"/>
    <col min="70" max="70" width="3.5" style="7" customWidth="1"/>
    <col min="71" max="71" width="8.33203125" style="7" customWidth="1"/>
    <col min="72" max="72" width="7.83203125" style="7" customWidth="1"/>
    <col min="73" max="73" width="10" style="7" customWidth="1"/>
    <col min="74" max="74" width="2.5" style="7" customWidth="1"/>
    <col min="75" max="75" width="5.1640625" style="7" customWidth="1"/>
    <col min="76" max="76" width="4.5" style="7" customWidth="1"/>
    <col min="77" max="77" width="8.33203125" style="7" customWidth="1"/>
    <col min="78" max="78" width="7.83203125" style="7" customWidth="1"/>
    <col min="79" max="79" width="10" style="7" customWidth="1"/>
    <col min="80" max="80" width="2.5" style="7" customWidth="1"/>
    <col min="81" max="81" width="6.83203125" style="7" customWidth="1"/>
    <col min="82" max="82" width="6.1640625" style="7" customWidth="1"/>
    <col min="83" max="83" width="8.33203125" style="7" customWidth="1"/>
    <col min="84" max="84" width="7.83203125" style="7" customWidth="1"/>
    <col min="85" max="85" width="10" style="7" customWidth="1"/>
    <col min="86" max="86" width="2.5" style="7" customWidth="1"/>
    <col min="87" max="88" width="7.6640625" style="7" customWidth="1"/>
    <col min="89" max="89" width="8.33203125" style="7" customWidth="1"/>
    <col min="90" max="90" width="7.83203125" style="7" customWidth="1"/>
    <col min="91" max="91" width="10" style="7" customWidth="1"/>
    <col min="92" max="92" width="8.5" style="7" customWidth="1"/>
    <col min="93" max="93" width="2.5" style="7" customWidth="1"/>
    <col min="94" max="94" width="8.5" style="7" customWidth="1"/>
    <col min="95" max="96" width="9.5" style="7" customWidth="1"/>
    <col min="97" max="98" width="8.5" style="7" customWidth="1"/>
    <col min="99" max="99" width="9.5" style="7" customWidth="1"/>
    <col min="100" max="256" width="9.1640625" style="7" customWidth="1"/>
  </cols>
  <sheetData>
    <row r="1" spans="1:256" ht="70" customHeight="1">
      <c r="A1" s="8" t="s">
        <v>167</v>
      </c>
      <c r="B1" s="9" t="s">
        <v>168</v>
      </c>
      <c r="C1" s="9" t="s">
        <v>169</v>
      </c>
      <c r="D1" s="9" t="s">
        <v>170</v>
      </c>
      <c r="E1" s="10" t="s">
        <v>171</v>
      </c>
      <c r="F1" s="10" t="s">
        <v>172</v>
      </c>
      <c r="G1" s="11" t="s">
        <v>173</v>
      </c>
      <c r="H1" s="11" t="s">
        <v>174</v>
      </c>
      <c r="I1" s="11" t="s">
        <v>175</v>
      </c>
      <c r="J1" s="11" t="s">
        <v>176</v>
      </c>
      <c r="K1" s="11" t="s">
        <v>177</v>
      </c>
      <c r="L1" s="12" t="s">
        <v>178</v>
      </c>
      <c r="M1" s="12" t="s">
        <v>179</v>
      </c>
      <c r="N1" s="12" t="s">
        <v>180</v>
      </c>
      <c r="O1" s="12" t="s">
        <v>181</v>
      </c>
      <c r="P1" s="12" t="s">
        <v>182</v>
      </c>
      <c r="Q1" s="12" t="s">
        <v>183</v>
      </c>
      <c r="R1" s="12" t="s">
        <v>184</v>
      </c>
      <c r="S1" s="13" t="s">
        <v>185</v>
      </c>
      <c r="T1" s="13" t="s">
        <v>186</v>
      </c>
      <c r="U1" s="13" t="s">
        <v>187</v>
      </c>
      <c r="V1" s="13" t="s">
        <v>188</v>
      </c>
      <c r="W1" s="13" t="s">
        <v>189</v>
      </c>
      <c r="X1" s="14" t="s">
        <v>190</v>
      </c>
      <c r="Y1" s="14" t="s">
        <v>191</v>
      </c>
      <c r="Z1" s="14" t="s">
        <v>192</v>
      </c>
      <c r="AA1" s="14" t="s">
        <v>193</v>
      </c>
      <c r="AB1" s="14" t="s">
        <v>194</v>
      </c>
      <c r="AC1" s="15" t="s">
        <v>195</v>
      </c>
      <c r="AD1" s="15" t="s">
        <v>196</v>
      </c>
      <c r="AE1" s="15" t="s">
        <v>197</v>
      </c>
      <c r="AF1" s="15" t="s">
        <v>198</v>
      </c>
      <c r="AG1" s="15" t="s">
        <v>199</v>
      </c>
      <c r="AH1" s="15" t="s">
        <v>200</v>
      </c>
      <c r="AI1" s="15" t="s">
        <v>201</v>
      </c>
      <c r="AJ1" s="15" t="s">
        <v>202</v>
      </c>
      <c r="AK1" s="15" t="s">
        <v>203</v>
      </c>
      <c r="AL1" s="15" t="s">
        <v>204</v>
      </c>
      <c r="AM1" s="15" t="s">
        <v>205</v>
      </c>
      <c r="AN1" s="15" t="s">
        <v>206</v>
      </c>
      <c r="AO1" s="15" t="s">
        <v>207</v>
      </c>
      <c r="AP1" s="15" t="s">
        <v>208</v>
      </c>
      <c r="AQ1" s="16" t="s">
        <v>209</v>
      </c>
      <c r="AR1" s="16" t="s">
        <v>210</v>
      </c>
      <c r="AS1" s="17" t="s">
        <v>211</v>
      </c>
      <c r="AT1" s="17" t="s">
        <v>212</v>
      </c>
      <c r="AU1" s="17" t="s">
        <v>213</v>
      </c>
      <c r="AV1" s="17" t="s">
        <v>214</v>
      </c>
      <c r="AW1" s="17" t="s">
        <v>215</v>
      </c>
      <c r="AX1" s="17" t="s">
        <v>216</v>
      </c>
      <c r="AY1" s="17" t="s">
        <v>217</v>
      </c>
      <c r="AZ1" s="17" t="s">
        <v>218</v>
      </c>
      <c r="BA1" s="17" t="s">
        <v>219</v>
      </c>
      <c r="BB1" s="17" t="s">
        <v>220</v>
      </c>
      <c r="BC1" s="17" t="s">
        <v>221</v>
      </c>
      <c r="BD1" s="17" t="s">
        <v>222</v>
      </c>
      <c r="BE1" s="18" t="s">
        <v>223</v>
      </c>
      <c r="BF1" s="18" t="s">
        <v>224</v>
      </c>
      <c r="BG1" s="18" t="s">
        <v>225</v>
      </c>
      <c r="BH1" s="18" t="s">
        <v>226</v>
      </c>
      <c r="BI1" s="18" t="s">
        <v>227</v>
      </c>
      <c r="BJ1" s="19"/>
      <c r="BK1" s="2" t="s">
        <v>228</v>
      </c>
      <c r="BL1" s="20"/>
      <c r="BM1" s="20"/>
      <c r="BN1" s="20"/>
      <c r="BO1" s="20"/>
      <c r="BP1" s="20"/>
      <c r="BQ1" s="2" t="s">
        <v>229</v>
      </c>
      <c r="BR1" s="20"/>
      <c r="BS1" s="20"/>
      <c r="BT1" s="20"/>
      <c r="BU1" s="20"/>
      <c r="BV1" s="20"/>
      <c r="BW1" s="2" t="s">
        <v>230</v>
      </c>
      <c r="BX1" s="20"/>
      <c r="BY1" s="20"/>
      <c r="BZ1" s="20"/>
      <c r="CA1" s="20"/>
      <c r="CB1" s="20"/>
      <c r="CC1" s="2" t="s">
        <v>231</v>
      </c>
      <c r="CD1" s="20"/>
      <c r="CE1" s="20"/>
      <c r="CF1" s="20"/>
      <c r="CG1" s="20"/>
      <c r="CH1" s="20"/>
      <c r="CI1" s="2" t="s">
        <v>232</v>
      </c>
      <c r="CJ1" s="20"/>
      <c r="CK1" s="20"/>
      <c r="CL1" s="20"/>
      <c r="CM1" s="20"/>
      <c r="CN1" s="20"/>
      <c r="CO1" s="20"/>
      <c r="CP1" s="20"/>
      <c r="CQ1" s="20"/>
      <c r="CR1" s="20"/>
      <c r="CS1" s="20"/>
      <c r="CT1" s="20"/>
      <c r="CU1" s="20"/>
    </row>
    <row r="2" spans="1:256" ht="15" customHeight="1">
      <c r="A2" s="21">
        <v>1</v>
      </c>
      <c r="B2" s="21">
        <f>A2+1</f>
        <v>2</v>
      </c>
      <c r="C2" s="21">
        <f>B2+1</f>
        <v>3</v>
      </c>
      <c r="D2" s="21">
        <f>C2+1</f>
        <v>4</v>
      </c>
      <c r="E2" s="22">
        <f>D2+1</f>
        <v>5</v>
      </c>
      <c r="F2" s="23"/>
      <c r="G2" s="21">
        <f>E2+1</f>
        <v>6</v>
      </c>
      <c r="H2" s="21">
        <f t="shared" ref="H2:AM2" si="0">G2+1</f>
        <v>7</v>
      </c>
      <c r="I2" s="21">
        <f t="shared" si="0"/>
        <v>8</v>
      </c>
      <c r="J2" s="21">
        <f t="shared" si="0"/>
        <v>9</v>
      </c>
      <c r="K2" s="21">
        <f t="shared" si="0"/>
        <v>10</v>
      </c>
      <c r="L2" s="21">
        <f t="shared" si="0"/>
        <v>11</v>
      </c>
      <c r="M2" s="21">
        <f t="shared" si="0"/>
        <v>12</v>
      </c>
      <c r="N2" s="21">
        <f t="shared" si="0"/>
        <v>13</v>
      </c>
      <c r="O2" s="21">
        <f t="shared" si="0"/>
        <v>14</v>
      </c>
      <c r="P2" s="21">
        <f t="shared" si="0"/>
        <v>15</v>
      </c>
      <c r="Q2" s="21">
        <f t="shared" si="0"/>
        <v>16</v>
      </c>
      <c r="R2" s="21">
        <f t="shared" si="0"/>
        <v>17</v>
      </c>
      <c r="S2" s="21">
        <f t="shared" si="0"/>
        <v>18</v>
      </c>
      <c r="T2" s="21">
        <f t="shared" si="0"/>
        <v>19</v>
      </c>
      <c r="U2" s="21">
        <f t="shared" si="0"/>
        <v>20</v>
      </c>
      <c r="V2" s="21">
        <f t="shared" si="0"/>
        <v>21</v>
      </c>
      <c r="W2" s="21">
        <f t="shared" si="0"/>
        <v>22</v>
      </c>
      <c r="X2" s="21">
        <f t="shared" si="0"/>
        <v>23</v>
      </c>
      <c r="Y2" s="21">
        <f t="shared" si="0"/>
        <v>24</v>
      </c>
      <c r="Z2" s="21">
        <f t="shared" si="0"/>
        <v>25</v>
      </c>
      <c r="AA2" s="21">
        <f t="shared" si="0"/>
        <v>26</v>
      </c>
      <c r="AB2" s="21">
        <f t="shared" si="0"/>
        <v>27</v>
      </c>
      <c r="AC2" s="21">
        <f t="shared" si="0"/>
        <v>28</v>
      </c>
      <c r="AD2" s="21">
        <f t="shared" si="0"/>
        <v>29</v>
      </c>
      <c r="AE2" s="21">
        <f t="shared" si="0"/>
        <v>30</v>
      </c>
      <c r="AF2" s="21">
        <f t="shared" si="0"/>
        <v>31</v>
      </c>
      <c r="AG2" s="21">
        <f t="shared" si="0"/>
        <v>32</v>
      </c>
      <c r="AH2" s="21">
        <f t="shared" si="0"/>
        <v>33</v>
      </c>
      <c r="AI2" s="21">
        <f t="shared" si="0"/>
        <v>34</v>
      </c>
      <c r="AJ2" s="21">
        <f t="shared" si="0"/>
        <v>35</v>
      </c>
      <c r="AK2" s="21">
        <f t="shared" si="0"/>
        <v>36</v>
      </c>
      <c r="AL2" s="21">
        <f t="shared" si="0"/>
        <v>37</v>
      </c>
      <c r="AM2" s="21">
        <f t="shared" si="0"/>
        <v>38</v>
      </c>
      <c r="AN2" s="21">
        <f t="shared" ref="AN2:BD2" si="1">AM2+1</f>
        <v>39</v>
      </c>
      <c r="AO2" s="21">
        <f t="shared" si="1"/>
        <v>40</v>
      </c>
      <c r="AP2" s="21">
        <f t="shared" si="1"/>
        <v>41</v>
      </c>
      <c r="AQ2" s="21">
        <f t="shared" si="1"/>
        <v>42</v>
      </c>
      <c r="AR2" s="21">
        <f t="shared" si="1"/>
        <v>43</v>
      </c>
      <c r="AS2" s="21">
        <f t="shared" si="1"/>
        <v>44</v>
      </c>
      <c r="AT2" s="21">
        <f t="shared" si="1"/>
        <v>45</v>
      </c>
      <c r="AU2" s="21">
        <f t="shared" si="1"/>
        <v>46</v>
      </c>
      <c r="AV2" s="21">
        <f t="shared" si="1"/>
        <v>47</v>
      </c>
      <c r="AW2" s="21">
        <f t="shared" si="1"/>
        <v>48</v>
      </c>
      <c r="AX2" s="21">
        <f t="shared" si="1"/>
        <v>49</v>
      </c>
      <c r="AY2" s="21">
        <f t="shared" si="1"/>
        <v>50</v>
      </c>
      <c r="AZ2" s="21">
        <f t="shared" si="1"/>
        <v>51</v>
      </c>
      <c r="BA2" s="21">
        <f t="shared" si="1"/>
        <v>52</v>
      </c>
      <c r="BB2" s="21">
        <f t="shared" si="1"/>
        <v>53</v>
      </c>
      <c r="BC2" s="21">
        <f t="shared" si="1"/>
        <v>54</v>
      </c>
      <c r="BD2" s="21">
        <f t="shared" si="1"/>
        <v>55</v>
      </c>
      <c r="BE2" s="24" t="s">
        <v>233</v>
      </c>
      <c r="BF2" s="24" t="s">
        <v>234</v>
      </c>
      <c r="BG2" s="24" t="s">
        <v>235</v>
      </c>
      <c r="BH2" s="24" t="s">
        <v>236</v>
      </c>
      <c r="BI2" s="24" t="s">
        <v>237</v>
      </c>
      <c r="BJ2" s="25" t="s">
        <v>238</v>
      </c>
      <c r="BK2" s="25" t="s">
        <v>239</v>
      </c>
      <c r="BL2" s="25" t="s">
        <v>240</v>
      </c>
      <c r="BM2" s="25" t="s">
        <v>241</v>
      </c>
      <c r="BN2" s="25" t="s">
        <v>242</v>
      </c>
      <c r="BO2" s="25" t="s">
        <v>243</v>
      </c>
      <c r="BP2" s="25" t="s">
        <v>238</v>
      </c>
      <c r="BQ2" s="25" t="s">
        <v>239</v>
      </c>
      <c r="BR2" s="25" t="s">
        <v>240</v>
      </c>
      <c r="BS2" s="25" t="s">
        <v>241</v>
      </c>
      <c r="BT2" s="25" t="s">
        <v>242</v>
      </c>
      <c r="BU2" s="25" t="s">
        <v>243</v>
      </c>
      <c r="BV2" s="25" t="s">
        <v>238</v>
      </c>
      <c r="BW2" s="25" t="s">
        <v>239</v>
      </c>
      <c r="BX2" s="25" t="s">
        <v>240</v>
      </c>
      <c r="BY2" s="25" t="s">
        <v>241</v>
      </c>
      <c r="BZ2" s="25" t="s">
        <v>242</v>
      </c>
      <c r="CA2" s="25" t="s">
        <v>243</v>
      </c>
      <c r="CB2" s="25" t="s">
        <v>238</v>
      </c>
      <c r="CC2" s="25" t="s">
        <v>239</v>
      </c>
      <c r="CD2" s="25" t="s">
        <v>240</v>
      </c>
      <c r="CE2" s="25" t="s">
        <v>241</v>
      </c>
      <c r="CF2" s="25" t="s">
        <v>242</v>
      </c>
      <c r="CG2" s="25" t="s">
        <v>243</v>
      </c>
      <c r="CH2" s="25" t="s">
        <v>238</v>
      </c>
      <c r="CI2" s="25" t="s">
        <v>239</v>
      </c>
      <c r="CJ2" s="25" t="s">
        <v>240</v>
      </c>
      <c r="CK2" s="25" t="s">
        <v>241</v>
      </c>
      <c r="CL2" s="25" t="s">
        <v>242</v>
      </c>
      <c r="CM2" s="25" t="s">
        <v>243</v>
      </c>
      <c r="CN2" s="25" t="s">
        <v>244</v>
      </c>
      <c r="CO2" s="25" t="s">
        <v>238</v>
      </c>
      <c r="CP2" s="25" t="s">
        <v>245</v>
      </c>
      <c r="CQ2" s="25" t="s">
        <v>246</v>
      </c>
      <c r="CR2" s="25" t="s">
        <v>247</v>
      </c>
      <c r="CS2" s="25" t="s">
        <v>248</v>
      </c>
      <c r="CT2" s="25" t="s">
        <v>249</v>
      </c>
      <c r="CU2" s="25" t="s">
        <v>250</v>
      </c>
    </row>
    <row r="3" spans="1:256" ht="15" customHeight="1">
      <c r="A3" s="5"/>
      <c r="B3" s="37"/>
      <c r="C3" s="37"/>
      <c r="D3" s="37"/>
      <c r="E3" s="26"/>
      <c r="F3" s="38"/>
      <c r="G3" s="4"/>
      <c r="H3" s="4"/>
      <c r="I3" s="4"/>
      <c r="J3" s="4"/>
      <c r="K3" s="4"/>
      <c r="L3" s="4"/>
      <c r="M3" s="4"/>
      <c r="N3" s="4"/>
      <c r="O3" s="4"/>
      <c r="P3" s="4"/>
      <c r="Q3" s="4"/>
      <c r="R3" s="4"/>
      <c r="S3" s="27"/>
      <c r="T3" s="27"/>
      <c r="U3" s="27"/>
      <c r="V3" s="27"/>
      <c r="W3" s="27"/>
      <c r="X3" s="27"/>
      <c r="Y3" s="27"/>
      <c r="Z3" s="27"/>
      <c r="AA3" s="27"/>
      <c r="AB3" s="27"/>
      <c r="AC3" s="27"/>
      <c r="AD3" s="27"/>
      <c r="AE3" s="27"/>
      <c r="AF3" s="27"/>
      <c r="AG3" s="27"/>
      <c r="AH3" s="27"/>
      <c r="AI3" s="27"/>
      <c r="AJ3" s="26"/>
      <c r="AK3" s="39"/>
      <c r="AL3" s="39"/>
      <c r="AM3" s="39"/>
      <c r="AN3" s="40"/>
      <c r="AO3" s="40"/>
      <c r="AP3" s="40"/>
      <c r="AQ3" s="27"/>
      <c r="AR3" s="27"/>
      <c r="AS3" s="27"/>
      <c r="AT3" s="27"/>
      <c r="AU3" s="27"/>
      <c r="AV3" s="27"/>
      <c r="AW3" s="27"/>
      <c r="AX3" s="27"/>
      <c r="AY3" s="27"/>
      <c r="AZ3" s="27"/>
      <c r="BA3" s="27"/>
      <c r="BB3" s="27"/>
      <c r="BC3" s="27"/>
      <c r="BD3" s="27"/>
      <c r="BE3" s="29"/>
      <c r="BF3" s="29"/>
      <c r="BG3" s="29"/>
      <c r="BH3" s="42"/>
      <c r="BI3" s="29"/>
      <c r="BJ3" s="5"/>
      <c r="BK3" s="6"/>
      <c r="BL3" s="6"/>
      <c r="BM3" s="6"/>
      <c r="BN3" s="6"/>
      <c r="BO3" s="6"/>
      <c r="BP3" s="5"/>
      <c r="BQ3" s="43"/>
      <c r="BR3" s="43"/>
      <c r="BS3" s="43"/>
      <c r="BT3" s="44"/>
      <c r="BU3" s="43"/>
      <c r="BV3" s="5"/>
      <c r="BW3" s="43"/>
      <c r="BX3" s="43"/>
      <c r="BY3" s="43"/>
      <c r="BZ3" s="44"/>
      <c r="CA3" s="43"/>
      <c r="CB3" s="5"/>
      <c r="CC3" s="45"/>
      <c r="CD3" s="45"/>
      <c r="CE3" s="45"/>
      <c r="CF3" s="46"/>
      <c r="CG3" s="45"/>
      <c r="CH3" s="5"/>
      <c r="CI3" s="44"/>
      <c r="CJ3" s="44"/>
      <c r="CK3" s="44"/>
      <c r="CL3" s="44"/>
      <c r="CM3" s="44"/>
      <c r="CN3" s="47"/>
      <c r="CO3" s="5"/>
      <c r="CP3" s="47"/>
      <c r="CQ3" s="47"/>
      <c r="CR3" s="47"/>
      <c r="CS3" s="47"/>
      <c r="CT3" s="47"/>
      <c r="CU3" s="47"/>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row>
    <row r="4" spans="1:256" ht="15" customHeight="1">
      <c r="A4" s="34"/>
      <c r="B4" s="35" t="s">
        <v>254</v>
      </c>
      <c r="C4" s="34"/>
      <c r="D4" s="34"/>
      <c r="E4" s="36"/>
      <c r="F4" s="36"/>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20"/>
      <c r="BF4" s="20"/>
      <c r="BG4" s="20"/>
      <c r="BH4" s="20"/>
      <c r="BI4" s="20"/>
      <c r="BJ4" s="20"/>
      <c r="BK4" s="20"/>
      <c r="BL4" s="20"/>
      <c r="BM4" s="20"/>
      <c r="BN4" s="20"/>
      <c r="BO4" s="20"/>
      <c r="BP4" s="20"/>
      <c r="BQ4" s="30"/>
      <c r="BR4" s="30"/>
      <c r="BS4" s="30"/>
      <c r="BT4" s="31"/>
      <c r="BU4" s="30"/>
      <c r="BV4" s="20"/>
      <c r="BW4" s="30"/>
      <c r="BX4" s="30"/>
      <c r="BY4" s="30"/>
      <c r="BZ4" s="31"/>
      <c r="CA4" s="30"/>
      <c r="CB4" s="20"/>
      <c r="CC4" s="29"/>
      <c r="CD4" s="29"/>
      <c r="CE4" s="29"/>
      <c r="CF4" s="32"/>
      <c r="CG4" s="29"/>
      <c r="CH4" s="20"/>
      <c r="CI4" s="31"/>
      <c r="CJ4" s="31"/>
      <c r="CK4" s="31"/>
      <c r="CL4" s="31"/>
      <c r="CM4" s="31"/>
      <c r="CN4" s="33"/>
      <c r="CO4" s="20"/>
      <c r="CP4" s="33"/>
      <c r="CQ4" s="33"/>
      <c r="CR4" s="33"/>
      <c r="CS4" s="33"/>
      <c r="CT4" s="33"/>
      <c r="CU4" s="33"/>
    </row>
    <row r="5" spans="1:256" ht="15" customHeight="1">
      <c r="A5" s="5"/>
      <c r="B5" s="37" t="s">
        <v>94</v>
      </c>
      <c r="C5" s="37" t="s">
        <v>252</v>
      </c>
      <c r="D5" s="37" t="s">
        <v>255</v>
      </c>
      <c r="E5" s="26">
        <v>42551</v>
      </c>
      <c r="F5" s="38">
        <f>SUM(CI5:CN5)</f>
        <v>74.224826391474181</v>
      </c>
      <c r="G5" s="4">
        <v>72364000</v>
      </c>
      <c r="H5" s="4">
        <v>17127000</v>
      </c>
      <c r="I5" s="4">
        <v>409031000</v>
      </c>
      <c r="J5" s="4">
        <v>226475000</v>
      </c>
      <c r="K5" s="4">
        <v>22072000</v>
      </c>
      <c r="L5" s="4">
        <v>115875000</v>
      </c>
      <c r="M5" s="4">
        <v>10200000</v>
      </c>
      <c r="N5" s="4">
        <v>15704000</v>
      </c>
      <c r="O5" s="4">
        <v>38290000</v>
      </c>
      <c r="P5" s="4">
        <f>L5+M5+N5+O5</f>
        <v>180069000</v>
      </c>
      <c r="Q5" s="4">
        <v>163850000</v>
      </c>
      <c r="R5" s="4">
        <v>16219000</v>
      </c>
      <c r="S5" s="27">
        <v>150107000</v>
      </c>
      <c r="T5" s="27">
        <v>145402000</v>
      </c>
      <c r="U5" s="27">
        <v>169055000</v>
      </c>
      <c r="V5" s="27">
        <v>180967000</v>
      </c>
      <c r="W5" s="27">
        <v>1408000</v>
      </c>
      <c r="X5" s="27">
        <v>11903</v>
      </c>
      <c r="Y5" s="27">
        <v>10826</v>
      </c>
      <c r="Z5" s="27">
        <v>11314</v>
      </c>
      <c r="AA5" s="27">
        <v>138209</v>
      </c>
      <c r="AB5" s="27">
        <f>SUM(X5:AA5)</f>
        <v>172252</v>
      </c>
      <c r="AC5" s="27">
        <v>11314</v>
      </c>
      <c r="AD5" s="27">
        <v>0</v>
      </c>
      <c r="AE5" s="27">
        <f>AC5+AD5</f>
        <v>11314</v>
      </c>
      <c r="AF5" s="27">
        <v>0</v>
      </c>
      <c r="AG5" s="27">
        <v>2864</v>
      </c>
      <c r="AH5" s="27">
        <v>2748</v>
      </c>
      <c r="AI5" s="27">
        <v>1131</v>
      </c>
      <c r="AJ5" s="26">
        <v>42186</v>
      </c>
      <c r="AK5" s="39">
        <v>0</v>
      </c>
      <c r="AL5" s="39">
        <v>39963</v>
      </c>
      <c r="AM5" s="39">
        <f>AL5-AK5</f>
        <v>39963</v>
      </c>
      <c r="AN5" s="40">
        <v>0</v>
      </c>
      <c r="AO5" s="41">
        <v>0.04</v>
      </c>
      <c r="AP5" s="40">
        <v>0.03</v>
      </c>
      <c r="AQ5" s="27">
        <v>4776</v>
      </c>
      <c r="AR5" s="27">
        <v>4776</v>
      </c>
      <c r="AS5" s="27">
        <v>33000</v>
      </c>
      <c r="AT5" s="27">
        <v>0</v>
      </c>
      <c r="AU5" s="27">
        <v>146000</v>
      </c>
      <c r="AV5" s="27">
        <v>598000</v>
      </c>
      <c r="AW5" s="27">
        <v>19738000</v>
      </c>
      <c r="AX5" s="27">
        <f>AS5+AT5+AU5+AV5+AW5</f>
        <v>20515000</v>
      </c>
      <c r="AY5" s="27">
        <v>117000</v>
      </c>
      <c r="AZ5" s="27">
        <v>783000</v>
      </c>
      <c r="BA5" s="27">
        <v>14485000</v>
      </c>
      <c r="BB5" s="27">
        <v>598000</v>
      </c>
      <c r="BC5" s="27">
        <v>19738000</v>
      </c>
      <c r="BD5" s="27">
        <f>AY5+AZ5+BA5+BB5+BC5</f>
        <v>35721000</v>
      </c>
      <c r="BE5" s="29">
        <f>AQ5/P5</f>
        <v>2.6523166119654131E-5</v>
      </c>
      <c r="BF5" s="29">
        <f>AX5/T5</f>
        <v>0.14109159433845478</v>
      </c>
      <c r="BG5" s="29">
        <f>(AB5-Y5)/P5</f>
        <v>8.9646746524943215E-4</v>
      </c>
      <c r="BH5" s="42">
        <f>VLOOKUP(B5,Unemployment!$A$2:$F$193,6,0)</f>
        <v>-0.39999999999999947</v>
      </c>
      <c r="BI5" s="29">
        <f>VLOOKUP(B5,Zillow!$C$11:$R$193,16,0)</f>
        <v>1.0792804796802131E-2</v>
      </c>
      <c r="BJ5" s="5"/>
      <c r="BK5" s="6">
        <v>10</v>
      </c>
      <c r="BL5" s="6">
        <v>40</v>
      </c>
      <c r="BM5" s="6">
        <v>30</v>
      </c>
      <c r="BN5" s="6">
        <v>10</v>
      </c>
      <c r="BO5" s="6">
        <v>10</v>
      </c>
      <c r="BP5" s="5"/>
      <c r="BQ5" s="43">
        <v>0.2</v>
      </c>
      <c r="BR5" s="43">
        <v>0.02</v>
      </c>
      <c r="BS5" s="43">
        <v>2.2000000000000002</v>
      </c>
      <c r="BT5" s="44">
        <v>0.02</v>
      </c>
      <c r="BU5" s="43">
        <v>-7.0000000000000007E-2</v>
      </c>
      <c r="BV5" s="5"/>
      <c r="BW5" s="43">
        <v>0.05</v>
      </c>
      <c r="BX5" s="43">
        <v>0.32</v>
      </c>
      <c r="BY5" s="43">
        <v>0.4</v>
      </c>
      <c r="BZ5" s="44">
        <v>0</v>
      </c>
      <c r="CA5" s="43">
        <v>0.03</v>
      </c>
      <c r="CB5" s="5"/>
      <c r="CC5" s="45">
        <f>(BW5-BQ5)/BK5</f>
        <v>-1.5000000000000003E-2</v>
      </c>
      <c r="CD5" s="45">
        <f>(BX5-BR5)/BL5</f>
        <v>7.4999999999999997E-3</v>
      </c>
      <c r="CE5" s="45">
        <f>(BY5-BS5)/BM5</f>
        <v>-6.0000000000000012E-2</v>
      </c>
      <c r="CF5" s="46">
        <f>(BZ5-BT5)/BN5</f>
        <v>-2E-3</v>
      </c>
      <c r="CG5" s="45">
        <f>(CA5-BU5)/BO5</f>
        <v>0.01</v>
      </c>
      <c r="CH5" s="5"/>
      <c r="CI5" s="44">
        <f>MIN(MAX(0,(BE5-BQ5)/CC5),BK5)</f>
        <v>10</v>
      </c>
      <c r="CJ5" s="44">
        <f>MIN(MAX(0,(BF5-BR5)/CD5),BL5)</f>
        <v>16.14554591179397</v>
      </c>
      <c r="CK5" s="44">
        <f>MIN(MAX(0,(BG5-BS5)/CE5),BM5)</f>
        <v>30</v>
      </c>
      <c r="CL5" s="44">
        <f>MIN(MAX(0,(BH5-BT5)/CF5),BN5)</f>
        <v>10</v>
      </c>
      <c r="CM5" s="44">
        <f>MIN(MAX(0,(BI5-BU5)/CG5),BO5)</f>
        <v>8.0792804796802127</v>
      </c>
      <c r="CN5" s="47">
        <f>IF(SUM(CI5:CM5)=100,CU5*0.00001,0)</f>
        <v>0</v>
      </c>
      <c r="CO5" s="5"/>
      <c r="CP5" s="47">
        <f>ABS(BE5-BW5*CC5*BK5)</f>
        <v>7.5265231661196565E-3</v>
      </c>
      <c r="CQ5" s="47">
        <f>ABS(BF5-BX5*CD5*BL5)</f>
        <v>4.5091594338454791E-2</v>
      </c>
      <c r="CR5" s="47">
        <f>ABS(BG5-BY5*CE5*BM5)</f>
        <v>0.7208964674652496</v>
      </c>
      <c r="CS5" s="47">
        <f>ABS(BH5-BZ5*CF5*BN5)</f>
        <v>0.39999999999999947</v>
      </c>
      <c r="CT5" s="47">
        <f>ABS(BI5-CA5*CG5*BO5)</f>
        <v>7.7928047968021316E-3</v>
      </c>
      <c r="CU5" s="47">
        <f>SUM(CP5:CT5)</f>
        <v>1.1813073897666257</v>
      </c>
    </row>
    <row r="6" spans="1:256" ht="15" customHeight="1">
      <c r="A6" s="34"/>
      <c r="B6" s="48" t="s">
        <v>256</v>
      </c>
      <c r="C6" s="131" t="s">
        <v>257</v>
      </c>
      <c r="D6" s="132"/>
      <c r="E6" s="132"/>
      <c r="F6" s="132"/>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20"/>
      <c r="BF6" s="20"/>
      <c r="BG6" s="20"/>
      <c r="BH6" s="20"/>
      <c r="BI6" s="20"/>
      <c r="BJ6" s="20"/>
      <c r="BK6" s="20"/>
      <c r="BL6" s="20"/>
      <c r="BM6" s="20"/>
      <c r="BN6" s="20"/>
      <c r="BO6" s="20"/>
      <c r="BP6" s="20"/>
      <c r="BQ6" s="30"/>
      <c r="BR6" s="30"/>
      <c r="BS6" s="30"/>
      <c r="BT6" s="31"/>
      <c r="BU6" s="30"/>
      <c r="BV6" s="20"/>
      <c r="BW6" s="30"/>
      <c r="BX6" s="30"/>
      <c r="BY6" s="30"/>
      <c r="BZ6" s="31"/>
      <c r="CA6" s="30"/>
      <c r="CB6" s="20"/>
      <c r="CC6" s="29"/>
      <c r="CD6" s="29"/>
      <c r="CE6" s="29"/>
      <c r="CF6" s="32"/>
      <c r="CG6" s="29"/>
      <c r="CH6" s="20"/>
      <c r="CI6" s="31"/>
      <c r="CJ6" s="31"/>
      <c r="CK6" s="31"/>
      <c r="CL6" s="31"/>
      <c r="CM6" s="31"/>
      <c r="CN6" s="33"/>
      <c r="CO6" s="20"/>
      <c r="CP6" s="33"/>
      <c r="CQ6" s="33"/>
      <c r="CR6" s="33"/>
      <c r="CS6" s="33"/>
      <c r="CT6" s="33"/>
      <c r="CU6" s="33"/>
    </row>
    <row r="7" spans="1:256" ht="15" customHeight="1">
      <c r="A7" s="5"/>
      <c r="B7" s="37" t="s">
        <v>120</v>
      </c>
      <c r="C7" s="37" t="s">
        <v>252</v>
      </c>
      <c r="D7" s="37" t="s">
        <v>258</v>
      </c>
      <c r="E7" s="26">
        <v>42551</v>
      </c>
      <c r="F7" s="38">
        <f t="shared" ref="F7:F38" si="2">SUM(CI7:CN7)</f>
        <v>77.457217107079131</v>
      </c>
      <c r="G7" s="4">
        <f>141315161-49529929-4545354-33275946-1282871-14377657</f>
        <v>38303404</v>
      </c>
      <c r="H7" s="4">
        <f>72013283-11144218-48167376</f>
        <v>12701689</v>
      </c>
      <c r="I7" s="4">
        <v>141315161</v>
      </c>
      <c r="J7" s="4">
        <v>69661591</v>
      </c>
      <c r="K7" s="4">
        <v>3788351</v>
      </c>
      <c r="L7" s="4">
        <v>32925308</v>
      </c>
      <c r="M7" s="4">
        <v>2736094</v>
      </c>
      <c r="N7" s="4">
        <v>8918707</v>
      </c>
      <c r="O7" s="4">
        <v>26266424</v>
      </c>
      <c r="P7" s="4">
        <f t="shared" ref="P7:P24" si="3">L7+M7+N7+O7</f>
        <v>70846533</v>
      </c>
      <c r="Q7" s="4">
        <v>70615298</v>
      </c>
      <c r="R7" s="4">
        <v>231235</v>
      </c>
      <c r="S7" s="27">
        <v>65625346</v>
      </c>
      <c r="T7" s="27">
        <v>67815794</v>
      </c>
      <c r="U7" s="27">
        <v>67847065</v>
      </c>
      <c r="V7" s="27">
        <v>70027269</v>
      </c>
      <c r="W7" s="27">
        <v>-2360034</v>
      </c>
      <c r="X7" s="27">
        <f>9281691+1862527</f>
        <v>11144218</v>
      </c>
      <c r="Y7" s="27">
        <v>6814159</v>
      </c>
      <c r="Z7" s="27">
        <v>12769527</v>
      </c>
      <c r="AA7" s="27">
        <f>30730594+28581001-1862527-9281691-12769527-6814159</f>
        <v>28583691</v>
      </c>
      <c r="AB7" s="27">
        <f>X7+Y7+Z7+AA7</f>
        <v>59311595</v>
      </c>
      <c r="AC7" s="27">
        <v>12769527</v>
      </c>
      <c r="AD7" s="27">
        <v>0</v>
      </c>
      <c r="AE7" s="27">
        <f>AC7+AD7</f>
        <v>12769527</v>
      </c>
      <c r="AF7" s="27">
        <v>0</v>
      </c>
      <c r="AG7" s="27">
        <v>2714289</v>
      </c>
      <c r="AH7" s="27">
        <v>2677724</v>
      </c>
      <c r="AI7" s="27">
        <v>877506</v>
      </c>
      <c r="AJ7" s="26">
        <v>42551</v>
      </c>
      <c r="AK7" s="39">
        <v>0</v>
      </c>
      <c r="AL7" s="39">
        <v>27766684</v>
      </c>
      <c r="AM7" s="39">
        <f>AL7-AK7</f>
        <v>27766684</v>
      </c>
      <c r="AN7" s="40">
        <f>AK7/AL7</f>
        <v>0</v>
      </c>
      <c r="AO7" s="49"/>
      <c r="AP7" s="40">
        <v>7.6999999999999999E-2</v>
      </c>
      <c r="AQ7" s="27">
        <v>1396042</v>
      </c>
      <c r="AR7" s="27">
        <v>1396042</v>
      </c>
      <c r="AS7" s="27">
        <v>0</v>
      </c>
      <c r="AT7" s="27">
        <v>0</v>
      </c>
      <c r="AU7" s="27">
        <f t="shared" ref="AU7:BA7" si="4">300000+329034+375406+2500000+300000</f>
        <v>3804440</v>
      </c>
      <c r="AV7" s="27">
        <v>0</v>
      </c>
      <c r="AW7" s="27">
        <v>9724228</v>
      </c>
      <c r="AX7" s="27">
        <f t="shared" ref="AX7:AX33" si="5">AS7+AT7+AU7+AV7+AW7</f>
        <v>13528668</v>
      </c>
      <c r="AY7" s="27">
        <v>11031</v>
      </c>
      <c r="AZ7" s="27">
        <v>0</v>
      </c>
      <c r="BA7" s="27">
        <f t="shared" si="4"/>
        <v>3804440</v>
      </c>
      <c r="BB7" s="27">
        <f>539433+854524</f>
        <v>1393957</v>
      </c>
      <c r="BC7" s="27">
        <v>4664673</v>
      </c>
      <c r="BD7" s="27">
        <f t="shared" ref="BD7:BD33" si="6">AY7+AZ7+BA7+BB7+BC7</f>
        <v>9874101</v>
      </c>
      <c r="BE7" s="29">
        <f t="shared" ref="BE7:BE38" si="7">AQ7/P7</f>
        <v>1.9705156214207407E-2</v>
      </c>
      <c r="BF7" s="29">
        <f t="shared" ref="BF7:BF38" si="8">AX7/T7</f>
        <v>0.19949140461291362</v>
      </c>
      <c r="BG7" s="29">
        <f t="shared" ref="BG7:BG38" si="9">(AB7-Y7)/P7</f>
        <v>0.74100218849100208</v>
      </c>
      <c r="BH7" s="42">
        <f>VLOOKUP(B7,Unemployment!$A$2:$F$193,6,0)</f>
        <v>-1.0999999999999996</v>
      </c>
      <c r="BI7" s="29">
        <f>VLOOKUP(B7,Zillow!$C$11:$R$193,16,0)</f>
        <v>2.2083996335406832E-2</v>
      </c>
      <c r="BJ7" s="5"/>
      <c r="BK7" s="6">
        <v>10</v>
      </c>
      <c r="BL7" s="6">
        <v>40</v>
      </c>
      <c r="BM7" s="6">
        <v>30</v>
      </c>
      <c r="BN7" s="6">
        <v>10</v>
      </c>
      <c r="BO7" s="6">
        <v>10</v>
      </c>
      <c r="BP7" s="5"/>
      <c r="BQ7" s="43">
        <v>0.2</v>
      </c>
      <c r="BR7" s="43">
        <v>0.02</v>
      </c>
      <c r="BS7" s="43">
        <v>2.2000000000000002</v>
      </c>
      <c r="BT7" s="44">
        <v>0.02</v>
      </c>
      <c r="BU7" s="43">
        <v>-7.0000000000000007E-2</v>
      </c>
      <c r="BV7" s="5"/>
      <c r="BW7" s="43">
        <v>0.05</v>
      </c>
      <c r="BX7" s="43">
        <v>0.32</v>
      </c>
      <c r="BY7" s="43">
        <v>0.4</v>
      </c>
      <c r="BZ7" s="44">
        <v>0</v>
      </c>
      <c r="CA7" s="43">
        <v>0.03</v>
      </c>
      <c r="CB7" s="5"/>
      <c r="CC7" s="45">
        <f t="shared" ref="CC7:CC38" si="10">(BW7-BQ7)/BK7</f>
        <v>-1.5000000000000003E-2</v>
      </c>
      <c r="CD7" s="45">
        <f t="shared" ref="CD7:CD38" si="11">(BX7-BR7)/BL7</f>
        <v>7.4999999999999997E-3</v>
      </c>
      <c r="CE7" s="45">
        <f t="shared" ref="CE7:CE38" si="12">(BY7-BS7)/BM7</f>
        <v>-6.0000000000000012E-2</v>
      </c>
      <c r="CF7" s="46">
        <f t="shared" ref="CF7:CF38" si="13">(BZ7-BT7)/BN7</f>
        <v>-2E-3</v>
      </c>
      <c r="CG7" s="45">
        <f t="shared" ref="CG7:CG38" si="14">(CA7-BU7)/BO7</f>
        <v>0.01</v>
      </c>
      <c r="CH7" s="5"/>
      <c r="CI7" s="44">
        <f t="shared" ref="CI7:CI38" si="15">MIN(MAX(0,(BE7-BQ7)/CC7),BK7)</f>
        <v>10</v>
      </c>
      <c r="CJ7" s="44">
        <f t="shared" ref="CJ7:CJ38" si="16">MIN(MAX(0,(BF7-BR7)/CD7),BL7)</f>
        <v>23.932187281721816</v>
      </c>
      <c r="CK7" s="44">
        <f t="shared" ref="CK7:CK38" si="17">MIN(MAX(0,(BG7-BS7)/CE7),BM7)</f>
        <v>24.316630191816632</v>
      </c>
      <c r="CL7" s="44">
        <f t="shared" ref="CL7:CL38" si="18">MIN(MAX(0,(BH7-BT7)/CF7),BN7)</f>
        <v>10</v>
      </c>
      <c r="CM7" s="44">
        <f t="shared" ref="CM7:CM38" si="19">MIN(MAX(0,(BI7-BU7)/CG7),BO7)</f>
        <v>9.2083996335406848</v>
      </c>
      <c r="CN7" s="47">
        <f t="shared" ref="CN7:CN38" si="20">IF(SUM(CI7:CM7)=100,CU7*0.00001,0)</f>
        <v>0</v>
      </c>
      <c r="CO7" s="5"/>
      <c r="CP7" s="47">
        <f t="shared" ref="CP7:CP38" si="21">ABS(BE7-BW7*CC7*BK7)</f>
        <v>2.720515621420741E-2</v>
      </c>
      <c r="CQ7" s="47">
        <f t="shared" ref="CQ7:CQ38" si="22">ABS(BF7-BX7*CD7*BL7)</f>
        <v>0.10349140461291363</v>
      </c>
      <c r="CR7" s="47">
        <f t="shared" ref="CR7:CR38" si="23">ABS(BG7-BY7*CE7*BM7)</f>
        <v>1.4610021884910023</v>
      </c>
      <c r="CS7" s="47">
        <f t="shared" ref="CS7:CS38" si="24">ABS(BH7-BZ7*CF7*BN7)</f>
        <v>1.0999999999999996</v>
      </c>
      <c r="CT7" s="47">
        <f t="shared" ref="CT7:CT38" si="25">ABS(BI7-CA7*CG7*BO7)</f>
        <v>1.9083996335406833E-2</v>
      </c>
      <c r="CU7" s="47">
        <f t="shared" ref="CU7:CU38" si="26">SUM(CP7:CT7)</f>
        <v>2.7107827456535296</v>
      </c>
    </row>
    <row r="8" spans="1:256" ht="15" customHeight="1">
      <c r="A8" s="5"/>
      <c r="B8" s="37" t="s">
        <v>90</v>
      </c>
      <c r="C8" s="37" t="s">
        <v>252</v>
      </c>
      <c r="D8" s="37" t="s">
        <v>255</v>
      </c>
      <c r="E8" s="26">
        <v>42551</v>
      </c>
      <c r="F8" s="38">
        <f t="shared" si="2"/>
        <v>73.717392985417234</v>
      </c>
      <c r="G8" s="4">
        <f>20850385-14376934-968756</f>
        <v>5504695</v>
      </c>
      <c r="H8" s="4">
        <f>3239501-2272019-386400</f>
        <v>581082</v>
      </c>
      <c r="I8" s="4">
        <v>20850385</v>
      </c>
      <c r="J8" s="4">
        <v>17631181</v>
      </c>
      <c r="K8" s="4">
        <v>3102020</v>
      </c>
      <c r="L8" s="4">
        <v>9502384</v>
      </c>
      <c r="M8" s="4">
        <v>80030</v>
      </c>
      <c r="N8" s="4">
        <v>466838</v>
      </c>
      <c r="O8" s="4">
        <v>5703313</v>
      </c>
      <c r="P8" s="4">
        <f t="shared" si="3"/>
        <v>15752565</v>
      </c>
      <c r="Q8" s="4">
        <v>16158832</v>
      </c>
      <c r="R8" s="4">
        <v>-406267</v>
      </c>
      <c r="S8" s="27">
        <v>15379831</v>
      </c>
      <c r="T8" s="27">
        <v>14910281</v>
      </c>
      <c r="U8" s="27">
        <v>16295039</v>
      </c>
      <c r="V8" s="27">
        <v>16496670</v>
      </c>
      <c r="W8" s="27">
        <v>105642</v>
      </c>
      <c r="X8" s="27">
        <v>386400</v>
      </c>
      <c r="Y8" s="27">
        <v>0</v>
      </c>
      <c r="Z8" s="27">
        <v>122984</v>
      </c>
      <c r="AA8" s="27">
        <f>2658419-122984-0-386400</f>
        <v>2149035</v>
      </c>
      <c r="AB8" s="27">
        <f t="shared" ref="AB8:AB13" si="27">SUM(X8:AA8)</f>
        <v>2658419</v>
      </c>
      <c r="AC8" s="27">
        <v>122984</v>
      </c>
      <c r="AD8" s="27">
        <v>0</v>
      </c>
      <c r="AE8" s="27">
        <f>AC8+AD8</f>
        <v>122984</v>
      </c>
      <c r="AF8" s="27">
        <v>0</v>
      </c>
      <c r="AG8" s="27">
        <v>53000</v>
      </c>
      <c r="AH8" s="27">
        <v>52375</v>
      </c>
      <c r="AI8" s="27">
        <v>21200</v>
      </c>
      <c r="AJ8" s="50" t="s">
        <v>259</v>
      </c>
      <c r="AK8" s="39">
        <v>0</v>
      </c>
      <c r="AL8" s="39">
        <v>452000</v>
      </c>
      <c r="AM8" s="39">
        <v>452000</v>
      </c>
      <c r="AN8" s="40">
        <v>0</v>
      </c>
      <c r="AO8" s="40">
        <v>2.5000000000000001E-2</v>
      </c>
      <c r="AP8" s="40">
        <v>0.02</v>
      </c>
      <c r="AQ8" s="27"/>
      <c r="AR8" s="27"/>
      <c r="AS8" s="27">
        <v>0</v>
      </c>
      <c r="AT8" s="27">
        <v>0</v>
      </c>
      <c r="AU8" s="27">
        <v>15062</v>
      </c>
      <c r="AV8" s="27">
        <v>108809</v>
      </c>
      <c r="AW8" s="27">
        <v>1708311</v>
      </c>
      <c r="AX8" s="27">
        <f t="shared" si="5"/>
        <v>1832182</v>
      </c>
      <c r="AY8" s="27">
        <v>1619561</v>
      </c>
      <c r="AZ8" s="27">
        <v>32513</v>
      </c>
      <c r="BA8" s="27">
        <v>1103635</v>
      </c>
      <c r="BB8" s="27">
        <v>108809</v>
      </c>
      <c r="BC8" s="27">
        <v>1708311</v>
      </c>
      <c r="BD8" s="27">
        <f t="shared" si="6"/>
        <v>4572829</v>
      </c>
      <c r="BE8" s="29">
        <f t="shared" si="7"/>
        <v>0</v>
      </c>
      <c r="BF8" s="29">
        <f t="shared" si="8"/>
        <v>0.12288044739062932</v>
      </c>
      <c r="BG8" s="29">
        <f t="shared" si="9"/>
        <v>0.16876102399831391</v>
      </c>
      <c r="BH8" s="42">
        <f>VLOOKUP(B8,Unemployment!$A$2:$F$193,6,0)</f>
        <v>-9.9999999999999645E-2</v>
      </c>
      <c r="BI8" s="29">
        <f>VLOOKUP(B8,Zillow!$C$11:$R$193,16,0)</f>
        <v>4.4928694627907953E-2</v>
      </c>
      <c r="BJ8" s="5"/>
      <c r="BK8" s="6">
        <v>10</v>
      </c>
      <c r="BL8" s="6">
        <v>40</v>
      </c>
      <c r="BM8" s="6">
        <v>30</v>
      </c>
      <c r="BN8" s="6">
        <v>10</v>
      </c>
      <c r="BO8" s="6">
        <v>10</v>
      </c>
      <c r="BP8" s="5"/>
      <c r="BQ8" s="43">
        <v>0.2</v>
      </c>
      <c r="BR8" s="43">
        <v>0.02</v>
      </c>
      <c r="BS8" s="43">
        <v>2.2000000000000002</v>
      </c>
      <c r="BT8" s="44">
        <v>0.02</v>
      </c>
      <c r="BU8" s="43">
        <v>-7.0000000000000007E-2</v>
      </c>
      <c r="BV8" s="5"/>
      <c r="BW8" s="43">
        <v>0.05</v>
      </c>
      <c r="BX8" s="43">
        <v>0.32</v>
      </c>
      <c r="BY8" s="43">
        <v>0.4</v>
      </c>
      <c r="BZ8" s="44">
        <v>0</v>
      </c>
      <c r="CA8" s="43">
        <v>0.03</v>
      </c>
      <c r="CB8" s="5"/>
      <c r="CC8" s="45">
        <f t="shared" si="10"/>
        <v>-1.5000000000000003E-2</v>
      </c>
      <c r="CD8" s="45">
        <f t="shared" si="11"/>
        <v>7.4999999999999997E-3</v>
      </c>
      <c r="CE8" s="45">
        <f t="shared" si="12"/>
        <v>-6.0000000000000012E-2</v>
      </c>
      <c r="CF8" s="46">
        <f t="shared" si="13"/>
        <v>-2E-3</v>
      </c>
      <c r="CG8" s="45">
        <f t="shared" si="14"/>
        <v>0.01</v>
      </c>
      <c r="CH8" s="5"/>
      <c r="CI8" s="44">
        <f t="shared" si="15"/>
        <v>10</v>
      </c>
      <c r="CJ8" s="44">
        <f t="shared" si="16"/>
        <v>13.717392985417243</v>
      </c>
      <c r="CK8" s="44">
        <f t="shared" si="17"/>
        <v>30</v>
      </c>
      <c r="CL8" s="44">
        <f t="shared" si="18"/>
        <v>10</v>
      </c>
      <c r="CM8" s="44">
        <f t="shared" si="19"/>
        <v>10</v>
      </c>
      <c r="CN8" s="47">
        <f t="shared" si="20"/>
        <v>0</v>
      </c>
      <c r="CO8" s="5"/>
      <c r="CP8" s="47">
        <f t="shared" si="21"/>
        <v>7.5000000000000023E-3</v>
      </c>
      <c r="CQ8" s="47">
        <f t="shared" si="22"/>
        <v>2.6880447390629336E-2</v>
      </c>
      <c r="CR8" s="47">
        <f t="shared" si="23"/>
        <v>0.88876102399831414</v>
      </c>
      <c r="CS8" s="47">
        <f t="shared" si="24"/>
        <v>9.9999999999999645E-2</v>
      </c>
      <c r="CT8" s="47">
        <f t="shared" si="25"/>
        <v>4.192869462790795E-2</v>
      </c>
      <c r="CU8" s="47">
        <f t="shared" si="26"/>
        <v>1.0650701660168511</v>
      </c>
    </row>
    <row r="9" spans="1:256" ht="15" customHeight="1">
      <c r="A9" s="5"/>
      <c r="B9" s="37" t="s">
        <v>64</v>
      </c>
      <c r="C9" s="37" t="s">
        <v>252</v>
      </c>
      <c r="D9" s="37" t="s">
        <v>255</v>
      </c>
      <c r="E9" s="26">
        <v>42551</v>
      </c>
      <c r="F9" s="38">
        <f t="shared" si="2"/>
        <v>69.841156908523956</v>
      </c>
      <c r="G9" s="4">
        <f>179790126-132319644-13392401</f>
        <v>34078081</v>
      </c>
      <c r="H9" s="4">
        <v>8261551</v>
      </c>
      <c r="I9" s="4">
        <v>179790126</v>
      </c>
      <c r="J9" s="4">
        <v>110332199</v>
      </c>
      <c r="K9" s="4">
        <v>-8996683</v>
      </c>
      <c r="L9" s="4">
        <v>76045840</v>
      </c>
      <c r="M9" s="4">
        <v>901473</v>
      </c>
      <c r="N9" s="4">
        <v>5651311</v>
      </c>
      <c r="O9" s="4">
        <v>11336604</v>
      </c>
      <c r="P9" s="4">
        <f t="shared" si="3"/>
        <v>93935228</v>
      </c>
      <c r="Q9" s="4">
        <v>93422995</v>
      </c>
      <c r="R9" s="4">
        <v>512233</v>
      </c>
      <c r="S9" s="27">
        <v>87685177</v>
      </c>
      <c r="T9" s="27">
        <v>85083100</v>
      </c>
      <c r="U9" s="27">
        <v>93998582</v>
      </c>
      <c r="V9" s="27">
        <v>93777251</v>
      </c>
      <c r="W9" s="27">
        <v>-245220</v>
      </c>
      <c r="X9" s="27">
        <v>3149639</v>
      </c>
      <c r="Y9" s="27">
        <v>27398925</v>
      </c>
      <c r="Z9" s="27">
        <v>4923321</v>
      </c>
      <c r="AA9" s="27">
        <f>62194381-4923321-27398925-3149639</f>
        <v>26722496</v>
      </c>
      <c r="AB9" s="27">
        <f t="shared" si="27"/>
        <v>62194381</v>
      </c>
      <c r="AC9" s="27">
        <f>2097439+2825882</f>
        <v>4923321</v>
      </c>
      <c r="AD9" s="27">
        <v>0</v>
      </c>
      <c r="AE9" s="27">
        <f>AC9+AD9</f>
        <v>4923321</v>
      </c>
      <c r="AF9" s="27">
        <v>0</v>
      </c>
      <c r="AG9" s="27">
        <f>2169173+974866</f>
        <v>3144039</v>
      </c>
      <c r="AH9" s="27">
        <f>2158126+959483</f>
        <v>3117609</v>
      </c>
      <c r="AI9" s="27">
        <f>1809878+569278</f>
        <v>2379156</v>
      </c>
      <c r="AJ9" s="50" t="s">
        <v>259</v>
      </c>
      <c r="AK9" s="39">
        <f>3268899+122172</f>
        <v>3391071</v>
      </c>
      <c r="AL9" s="39">
        <f>23249432+7411679</f>
        <v>30661111</v>
      </c>
      <c r="AM9" s="39">
        <f>AL9-AK9</f>
        <v>27270040</v>
      </c>
      <c r="AN9" s="40">
        <f>AK9/AL9</f>
        <v>0.11059843852363993</v>
      </c>
      <c r="AO9" s="49"/>
      <c r="AP9" s="40"/>
      <c r="AQ9" s="27">
        <f>1201509+144845</f>
        <v>1346354</v>
      </c>
      <c r="AR9" s="27">
        <f>1201509+76088</f>
        <v>1277597</v>
      </c>
      <c r="AS9" s="27">
        <v>11398</v>
      </c>
      <c r="AT9" s="27">
        <v>0</v>
      </c>
      <c r="AU9" s="27">
        <v>0</v>
      </c>
      <c r="AV9" s="27">
        <v>2326985</v>
      </c>
      <c r="AW9" s="27">
        <v>8443716</v>
      </c>
      <c r="AX9" s="27">
        <f t="shared" si="5"/>
        <v>10782099</v>
      </c>
      <c r="AY9" s="27">
        <v>73069</v>
      </c>
      <c r="AZ9" s="27">
        <v>760214</v>
      </c>
      <c r="BA9" s="27">
        <v>9257902</v>
      </c>
      <c r="BB9" s="27">
        <v>2326985</v>
      </c>
      <c r="BC9" s="27">
        <v>8443716</v>
      </c>
      <c r="BD9" s="27">
        <f t="shared" si="6"/>
        <v>20861886</v>
      </c>
      <c r="BE9" s="29">
        <f t="shared" si="7"/>
        <v>1.4332791101544992E-2</v>
      </c>
      <c r="BF9" s="29">
        <f t="shared" si="8"/>
        <v>0.12672433185908835</v>
      </c>
      <c r="BG9" s="29">
        <f t="shared" si="9"/>
        <v>0.37041966832720097</v>
      </c>
      <c r="BH9" s="42">
        <f>VLOOKUP(B9,Unemployment!$A$2:$F$193,6,0)</f>
        <v>-0.30000000000000027</v>
      </c>
      <c r="BI9" s="29">
        <f>VLOOKUP(B9,Zillow!$C$11:$R$193,16,0)</f>
        <v>-1.38875400602116E-2</v>
      </c>
      <c r="BJ9" s="5"/>
      <c r="BK9" s="6">
        <v>10</v>
      </c>
      <c r="BL9" s="6">
        <v>40</v>
      </c>
      <c r="BM9" s="6">
        <v>30</v>
      </c>
      <c r="BN9" s="6">
        <v>10</v>
      </c>
      <c r="BO9" s="6">
        <v>10</v>
      </c>
      <c r="BP9" s="5"/>
      <c r="BQ9" s="43">
        <v>0.2</v>
      </c>
      <c r="BR9" s="43">
        <v>0.02</v>
      </c>
      <c r="BS9" s="43">
        <v>2.2000000000000002</v>
      </c>
      <c r="BT9" s="44">
        <v>0.02</v>
      </c>
      <c r="BU9" s="43">
        <v>-7.0000000000000007E-2</v>
      </c>
      <c r="BV9" s="5"/>
      <c r="BW9" s="43">
        <v>0.05</v>
      </c>
      <c r="BX9" s="43">
        <v>0.32</v>
      </c>
      <c r="BY9" s="43">
        <v>0.4</v>
      </c>
      <c r="BZ9" s="44">
        <v>0</v>
      </c>
      <c r="CA9" s="43">
        <v>0.03</v>
      </c>
      <c r="CB9" s="5"/>
      <c r="CC9" s="45">
        <f t="shared" si="10"/>
        <v>-1.5000000000000003E-2</v>
      </c>
      <c r="CD9" s="45">
        <f t="shared" si="11"/>
        <v>7.4999999999999997E-3</v>
      </c>
      <c r="CE9" s="45">
        <f t="shared" si="12"/>
        <v>-6.0000000000000012E-2</v>
      </c>
      <c r="CF9" s="46">
        <f t="shared" si="13"/>
        <v>-2E-3</v>
      </c>
      <c r="CG9" s="45">
        <f t="shared" si="14"/>
        <v>0.01</v>
      </c>
      <c r="CH9" s="5"/>
      <c r="CI9" s="44">
        <f t="shared" si="15"/>
        <v>10</v>
      </c>
      <c r="CJ9" s="44">
        <f t="shared" si="16"/>
        <v>14.229910914545114</v>
      </c>
      <c r="CK9" s="44">
        <f t="shared" si="17"/>
        <v>30</v>
      </c>
      <c r="CL9" s="44">
        <f t="shared" si="18"/>
        <v>10</v>
      </c>
      <c r="CM9" s="44">
        <f t="shared" si="19"/>
        <v>5.6112459939788399</v>
      </c>
      <c r="CN9" s="47">
        <f t="shared" si="20"/>
        <v>0</v>
      </c>
      <c r="CO9" s="5"/>
      <c r="CP9" s="47">
        <f t="shared" si="21"/>
        <v>2.1832791101544995E-2</v>
      </c>
      <c r="CQ9" s="47">
        <f t="shared" si="22"/>
        <v>3.0724331859088364E-2</v>
      </c>
      <c r="CR9" s="47">
        <f t="shared" si="23"/>
        <v>1.0904196683272012</v>
      </c>
      <c r="CS9" s="47">
        <f t="shared" si="24"/>
        <v>0.30000000000000027</v>
      </c>
      <c r="CT9" s="47">
        <f t="shared" si="25"/>
        <v>1.6887540060211599E-2</v>
      </c>
      <c r="CU9" s="47">
        <f t="shared" si="26"/>
        <v>1.4598643313480464</v>
      </c>
    </row>
    <row r="10" spans="1:256" ht="15" customHeight="1">
      <c r="A10" s="5"/>
      <c r="B10" s="37" t="s">
        <v>93</v>
      </c>
      <c r="C10" s="37" t="s">
        <v>252</v>
      </c>
      <c r="D10" s="37" t="s">
        <v>255</v>
      </c>
      <c r="E10" s="26">
        <v>42551</v>
      </c>
      <c r="F10" s="38">
        <f t="shared" si="2"/>
        <v>74.057863862545219</v>
      </c>
      <c r="G10" s="4">
        <f>11057051-7042837</f>
        <v>4014214</v>
      </c>
      <c r="H10" s="4">
        <f>3090067-2360000-600000</f>
        <v>130067</v>
      </c>
      <c r="I10" s="4">
        <v>11057051</v>
      </c>
      <c r="J10" s="4">
        <v>7978809</v>
      </c>
      <c r="K10" s="4">
        <v>3895972</v>
      </c>
      <c r="L10" s="4">
        <v>9761999</v>
      </c>
      <c r="M10" s="4">
        <v>480902</v>
      </c>
      <c r="N10" s="4">
        <v>229080</v>
      </c>
      <c r="O10" s="4">
        <v>2350279</v>
      </c>
      <c r="P10" s="4">
        <f t="shared" si="3"/>
        <v>12822260</v>
      </c>
      <c r="Q10" s="4">
        <v>12458590</v>
      </c>
      <c r="R10" s="4">
        <v>363670</v>
      </c>
      <c r="S10" s="27">
        <v>11858453</v>
      </c>
      <c r="T10" s="27">
        <v>11764683</v>
      </c>
      <c r="U10" s="27">
        <v>12672504</v>
      </c>
      <c r="V10" s="27">
        <v>14352760</v>
      </c>
      <c r="W10" s="27">
        <v>-173650</v>
      </c>
      <c r="X10" s="27">
        <v>600000</v>
      </c>
      <c r="Y10" s="27">
        <v>0</v>
      </c>
      <c r="Z10" s="27">
        <v>0</v>
      </c>
      <c r="AA10" s="27">
        <v>2360000</v>
      </c>
      <c r="AB10" s="27">
        <f t="shared" si="27"/>
        <v>2960000</v>
      </c>
      <c r="AC10" s="27"/>
      <c r="AD10" s="27"/>
      <c r="AE10" s="27"/>
      <c r="AF10" s="27"/>
      <c r="AG10" s="27"/>
      <c r="AH10" s="27"/>
      <c r="AI10" s="27"/>
      <c r="AJ10" s="26"/>
      <c r="AK10" s="39"/>
      <c r="AL10" s="39"/>
      <c r="AM10" s="39"/>
      <c r="AN10" s="40"/>
      <c r="AO10" s="49"/>
      <c r="AP10" s="40"/>
      <c r="AQ10" s="27"/>
      <c r="AR10" s="27"/>
      <c r="AS10" s="27">
        <v>0</v>
      </c>
      <c r="AT10" s="27">
        <v>0</v>
      </c>
      <c r="AU10" s="27">
        <v>0</v>
      </c>
      <c r="AV10" s="27">
        <f>200000+0+0</f>
        <v>200000</v>
      </c>
      <c r="AW10" s="27">
        <v>1275691</v>
      </c>
      <c r="AX10" s="27">
        <f t="shared" si="5"/>
        <v>1475691</v>
      </c>
      <c r="AY10" s="27">
        <v>2623</v>
      </c>
      <c r="AZ10" s="27">
        <v>845625</v>
      </c>
      <c r="BA10" s="27">
        <v>0</v>
      </c>
      <c r="BB10" s="27">
        <f>200000+206453+115924</f>
        <v>522377</v>
      </c>
      <c r="BC10" s="27">
        <v>1275691</v>
      </c>
      <c r="BD10" s="27">
        <f t="shared" si="6"/>
        <v>2646316</v>
      </c>
      <c r="BE10" s="29">
        <f t="shared" si="7"/>
        <v>0</v>
      </c>
      <c r="BF10" s="29">
        <f t="shared" si="8"/>
        <v>0.12543397896908909</v>
      </c>
      <c r="BG10" s="29">
        <f t="shared" si="9"/>
        <v>0.23084853996097413</v>
      </c>
      <c r="BH10" s="42">
        <f>VLOOKUP(B10,Unemployment!$A$2:$F$193,6,0)</f>
        <v>-0.19999999999999929</v>
      </c>
      <c r="BI10" s="29">
        <f>VLOOKUP(B10,Zillow!$C$11:$R$193,16,0)</f>
        <v>3.4055939273746831E-2</v>
      </c>
      <c r="BJ10" s="5"/>
      <c r="BK10" s="6">
        <v>10</v>
      </c>
      <c r="BL10" s="6">
        <v>40</v>
      </c>
      <c r="BM10" s="6">
        <v>30</v>
      </c>
      <c r="BN10" s="6">
        <v>10</v>
      </c>
      <c r="BO10" s="6">
        <v>10</v>
      </c>
      <c r="BP10" s="5"/>
      <c r="BQ10" s="43">
        <v>0.2</v>
      </c>
      <c r="BR10" s="43">
        <v>0.02</v>
      </c>
      <c r="BS10" s="43">
        <v>2.2000000000000002</v>
      </c>
      <c r="BT10" s="44">
        <v>0.02</v>
      </c>
      <c r="BU10" s="43">
        <v>-7.0000000000000007E-2</v>
      </c>
      <c r="BV10" s="5"/>
      <c r="BW10" s="43">
        <v>0.05</v>
      </c>
      <c r="BX10" s="43">
        <v>0.32</v>
      </c>
      <c r="BY10" s="43">
        <v>0.4</v>
      </c>
      <c r="BZ10" s="44">
        <v>0</v>
      </c>
      <c r="CA10" s="43">
        <v>0.03</v>
      </c>
      <c r="CB10" s="5"/>
      <c r="CC10" s="45">
        <f t="shared" si="10"/>
        <v>-1.5000000000000003E-2</v>
      </c>
      <c r="CD10" s="45">
        <f t="shared" si="11"/>
        <v>7.4999999999999997E-3</v>
      </c>
      <c r="CE10" s="45">
        <f t="shared" si="12"/>
        <v>-6.0000000000000012E-2</v>
      </c>
      <c r="CF10" s="46">
        <f t="shared" si="13"/>
        <v>-2E-3</v>
      </c>
      <c r="CG10" s="45">
        <f t="shared" si="14"/>
        <v>0.01</v>
      </c>
      <c r="CH10" s="5"/>
      <c r="CI10" s="44">
        <f t="shared" si="15"/>
        <v>10</v>
      </c>
      <c r="CJ10" s="44">
        <f t="shared" si="16"/>
        <v>14.057863862545211</v>
      </c>
      <c r="CK10" s="44">
        <f t="shared" si="17"/>
        <v>30</v>
      </c>
      <c r="CL10" s="44">
        <f t="shared" si="18"/>
        <v>10</v>
      </c>
      <c r="CM10" s="44">
        <f t="shared" si="19"/>
        <v>10</v>
      </c>
      <c r="CN10" s="47">
        <f t="shared" si="20"/>
        <v>0</v>
      </c>
      <c r="CO10" s="5"/>
      <c r="CP10" s="47">
        <f t="shared" si="21"/>
        <v>7.5000000000000023E-3</v>
      </c>
      <c r="CQ10" s="47">
        <f t="shared" si="22"/>
        <v>2.94339789690891E-2</v>
      </c>
      <c r="CR10" s="47">
        <f t="shared" si="23"/>
        <v>0.95084853996097429</v>
      </c>
      <c r="CS10" s="47">
        <f t="shared" si="24"/>
        <v>0.19999999999999929</v>
      </c>
      <c r="CT10" s="47">
        <f t="shared" si="25"/>
        <v>3.1055939273746832E-2</v>
      </c>
      <c r="CU10" s="47">
        <f t="shared" si="26"/>
        <v>1.2188384582038096</v>
      </c>
    </row>
    <row r="11" spans="1:256" ht="15" customHeight="1">
      <c r="A11" s="5"/>
      <c r="B11" s="37" t="s">
        <v>81</v>
      </c>
      <c r="C11" s="37" t="s">
        <v>252</v>
      </c>
      <c r="D11" s="37" t="s">
        <v>255</v>
      </c>
      <c r="E11" s="26">
        <v>42551</v>
      </c>
      <c r="F11" s="38">
        <f t="shared" si="2"/>
        <v>72.400298600757921</v>
      </c>
      <c r="G11" s="4">
        <f>26431279-11816579-4776722-501705-1137783</f>
        <v>8198490</v>
      </c>
      <c r="H11" s="4">
        <f>11590239-7394021-3488129</f>
        <v>708089</v>
      </c>
      <c r="I11" s="4">
        <v>26431279</v>
      </c>
      <c r="J11" s="4">
        <v>14935217</v>
      </c>
      <c r="K11" s="4">
        <v>4479979</v>
      </c>
      <c r="L11" s="4">
        <v>16446594</v>
      </c>
      <c r="M11" s="4">
        <v>58346</v>
      </c>
      <c r="N11" s="4">
        <v>677906</v>
      </c>
      <c r="O11" s="4">
        <v>5128885</v>
      </c>
      <c r="P11" s="4">
        <f t="shared" si="3"/>
        <v>22311731</v>
      </c>
      <c r="Q11" s="4">
        <v>21806420</v>
      </c>
      <c r="R11" s="4">
        <v>505311</v>
      </c>
      <c r="S11" s="27">
        <v>21493710</v>
      </c>
      <c r="T11" s="27">
        <v>20737904</v>
      </c>
      <c r="U11" s="27">
        <v>22177894</v>
      </c>
      <c r="V11" s="27">
        <v>22423789</v>
      </c>
      <c r="W11" s="27">
        <v>509844</v>
      </c>
      <c r="X11" s="27">
        <v>3488129</v>
      </c>
      <c r="Y11" s="27">
        <v>751849</v>
      </c>
      <c r="Z11" s="27">
        <v>72304</v>
      </c>
      <c r="AA11" s="27">
        <f>10882150-72304-751849-3488129</f>
        <v>6569868</v>
      </c>
      <c r="AB11" s="27">
        <f t="shared" si="27"/>
        <v>10882150</v>
      </c>
      <c r="AC11" s="27">
        <v>72304</v>
      </c>
      <c r="AD11" s="27">
        <v>0</v>
      </c>
      <c r="AE11" s="27">
        <f>AC11+AD11</f>
        <v>72304</v>
      </c>
      <c r="AF11" s="27">
        <v>0</v>
      </c>
      <c r="AG11" s="27">
        <v>88170</v>
      </c>
      <c r="AH11" s="27">
        <v>87153</v>
      </c>
      <c r="AI11" s="27">
        <v>75751</v>
      </c>
      <c r="AJ11" s="50" t="s">
        <v>260</v>
      </c>
      <c r="AK11" s="39">
        <v>0</v>
      </c>
      <c r="AL11" s="39">
        <v>1195490</v>
      </c>
      <c r="AM11" s="39">
        <f>AL11-AK11</f>
        <v>1195490</v>
      </c>
      <c r="AN11" s="40">
        <f>AK11/AL11</f>
        <v>0</v>
      </c>
      <c r="AO11" s="49"/>
      <c r="AP11" s="40">
        <v>0</v>
      </c>
      <c r="AQ11" s="27">
        <v>180221</v>
      </c>
      <c r="AR11" s="27">
        <v>180221</v>
      </c>
      <c r="AS11" s="27">
        <v>30085</v>
      </c>
      <c r="AT11" s="27">
        <v>0</v>
      </c>
      <c r="AU11" s="27">
        <v>0</v>
      </c>
      <c r="AV11" s="27">
        <v>166290</v>
      </c>
      <c r="AW11" s="27">
        <v>2710594</v>
      </c>
      <c r="AX11" s="27">
        <f t="shared" si="5"/>
        <v>2906969</v>
      </c>
      <c r="AY11" s="27">
        <v>507633</v>
      </c>
      <c r="AZ11" s="27">
        <v>1845857</v>
      </c>
      <c r="BA11" s="27">
        <v>1438858</v>
      </c>
      <c r="BB11" s="27">
        <v>166290</v>
      </c>
      <c r="BC11" s="27">
        <v>2559985</v>
      </c>
      <c r="BD11" s="27">
        <f t="shared" si="6"/>
        <v>6518623</v>
      </c>
      <c r="BE11" s="29">
        <f t="shared" si="7"/>
        <v>8.0774100404849801E-3</v>
      </c>
      <c r="BF11" s="29">
        <f t="shared" si="8"/>
        <v>0.14017660608323773</v>
      </c>
      <c r="BG11" s="29">
        <f t="shared" si="9"/>
        <v>0.4540347407379553</v>
      </c>
      <c r="BH11" s="42">
        <f>VLOOKUP(B11,Unemployment!$A$2:$F$193,6,0)</f>
        <v>-0.60000000000000053</v>
      </c>
      <c r="BI11" s="29">
        <f>VLOOKUP(B11,Zillow!$C$11:$R$193,16,0)</f>
        <v>2.7733013529214231E-3</v>
      </c>
      <c r="BJ11" s="5"/>
      <c r="BK11" s="6">
        <v>10</v>
      </c>
      <c r="BL11" s="6">
        <v>40</v>
      </c>
      <c r="BM11" s="6">
        <v>30</v>
      </c>
      <c r="BN11" s="6">
        <v>10</v>
      </c>
      <c r="BO11" s="6">
        <v>10</v>
      </c>
      <c r="BP11" s="5"/>
      <c r="BQ11" s="43">
        <v>0.2</v>
      </c>
      <c r="BR11" s="43">
        <v>0.02</v>
      </c>
      <c r="BS11" s="43">
        <v>2.2000000000000002</v>
      </c>
      <c r="BT11" s="44">
        <v>0.02</v>
      </c>
      <c r="BU11" s="43">
        <v>-7.0000000000000007E-2</v>
      </c>
      <c r="BV11" s="5"/>
      <c r="BW11" s="43">
        <v>0.05</v>
      </c>
      <c r="BX11" s="43">
        <v>0.32</v>
      </c>
      <c r="BY11" s="43">
        <v>0.4</v>
      </c>
      <c r="BZ11" s="44">
        <v>0</v>
      </c>
      <c r="CA11" s="43">
        <v>0.03</v>
      </c>
      <c r="CB11" s="5"/>
      <c r="CC11" s="45">
        <f t="shared" si="10"/>
        <v>-1.5000000000000003E-2</v>
      </c>
      <c r="CD11" s="45">
        <f t="shared" si="11"/>
        <v>7.4999999999999997E-3</v>
      </c>
      <c r="CE11" s="45">
        <f t="shared" si="12"/>
        <v>-6.0000000000000012E-2</v>
      </c>
      <c r="CF11" s="46">
        <f t="shared" si="13"/>
        <v>-2E-3</v>
      </c>
      <c r="CG11" s="45">
        <f t="shared" si="14"/>
        <v>0.01</v>
      </c>
      <c r="CH11" s="5"/>
      <c r="CI11" s="44">
        <f t="shared" si="15"/>
        <v>10</v>
      </c>
      <c r="CJ11" s="44">
        <f t="shared" si="16"/>
        <v>16.023547477765032</v>
      </c>
      <c r="CK11" s="44">
        <f t="shared" si="17"/>
        <v>29.099420987700743</v>
      </c>
      <c r="CL11" s="44">
        <f t="shared" si="18"/>
        <v>10</v>
      </c>
      <c r="CM11" s="44">
        <f t="shared" si="19"/>
        <v>7.2773301352921429</v>
      </c>
      <c r="CN11" s="47">
        <f t="shared" si="20"/>
        <v>0</v>
      </c>
      <c r="CO11" s="5"/>
      <c r="CP11" s="47">
        <f t="shared" si="21"/>
        <v>1.5577410040484983E-2</v>
      </c>
      <c r="CQ11" s="47">
        <f t="shared" si="22"/>
        <v>4.4176606083237743E-2</v>
      </c>
      <c r="CR11" s="47">
        <f t="shared" si="23"/>
        <v>1.1740347407379554</v>
      </c>
      <c r="CS11" s="47">
        <f t="shared" si="24"/>
        <v>0.60000000000000053</v>
      </c>
      <c r="CT11" s="47">
        <f t="shared" si="25"/>
        <v>2.2669864707857649E-4</v>
      </c>
      <c r="CU11" s="47">
        <f t="shared" si="26"/>
        <v>1.8340154555087571</v>
      </c>
    </row>
    <row r="12" spans="1:256" ht="15" customHeight="1">
      <c r="A12" s="5"/>
      <c r="B12" s="37" t="s">
        <v>61</v>
      </c>
      <c r="C12" s="37" t="s">
        <v>252</v>
      </c>
      <c r="D12" s="37" t="s">
        <v>255</v>
      </c>
      <c r="E12" s="26">
        <v>42551</v>
      </c>
      <c r="F12" s="38">
        <f t="shared" si="2"/>
        <v>69.504691663534629</v>
      </c>
      <c r="G12" s="4">
        <f>224442568-71241881-100166347</f>
        <v>53034340</v>
      </c>
      <c r="H12" s="4">
        <f>102586507-92118858-6096593</f>
        <v>4371056</v>
      </c>
      <c r="I12" s="4">
        <v>224442568</v>
      </c>
      <c r="J12" s="4">
        <v>123658199</v>
      </c>
      <c r="K12" s="4">
        <v>25851295</v>
      </c>
      <c r="L12" s="4">
        <v>67630499</v>
      </c>
      <c r="M12" s="4">
        <v>9327347</v>
      </c>
      <c r="N12" s="4">
        <v>8292047</v>
      </c>
      <c r="O12" s="4">
        <v>16083321</v>
      </c>
      <c r="P12" s="4">
        <f t="shared" si="3"/>
        <v>101333214</v>
      </c>
      <c r="Q12" s="4">
        <v>92846845</v>
      </c>
      <c r="R12" s="4">
        <v>8486369</v>
      </c>
      <c r="S12" s="27">
        <v>84424801</v>
      </c>
      <c r="T12" s="27">
        <v>83012026</v>
      </c>
      <c r="U12" s="27">
        <v>97000863</v>
      </c>
      <c r="V12" s="27">
        <v>111031381</v>
      </c>
      <c r="W12" s="27">
        <v>1712823</v>
      </c>
      <c r="X12" s="27">
        <f>5984767</f>
        <v>5984767</v>
      </c>
      <c r="Y12" s="27">
        <v>5688943</v>
      </c>
      <c r="Z12" s="27">
        <v>1535897</v>
      </c>
      <c r="AA12" s="27">
        <f>96174632-1535897-5688943-5984767</f>
        <v>82965025</v>
      </c>
      <c r="AB12" s="27">
        <f t="shared" si="27"/>
        <v>96174632</v>
      </c>
      <c r="AC12" s="27">
        <v>1535897</v>
      </c>
      <c r="AD12" s="27">
        <v>0</v>
      </c>
      <c r="AE12" s="27">
        <f>AC12+AD12</f>
        <v>1535897</v>
      </c>
      <c r="AF12" s="27">
        <v>0</v>
      </c>
      <c r="AG12" s="27">
        <v>530261</v>
      </c>
      <c r="AH12" s="27">
        <v>520914</v>
      </c>
      <c r="AI12" s="27">
        <v>206133</v>
      </c>
      <c r="AJ12" s="50" t="s">
        <v>259</v>
      </c>
      <c r="AK12" s="39">
        <v>0</v>
      </c>
      <c r="AL12" s="39">
        <v>5468687</v>
      </c>
      <c r="AM12" s="39">
        <v>5468687</v>
      </c>
      <c r="AN12" s="40">
        <f>AK12/AL12</f>
        <v>0</v>
      </c>
      <c r="AO12" s="40">
        <v>0.04</v>
      </c>
      <c r="AP12" s="50" t="s">
        <v>261</v>
      </c>
      <c r="AQ12" s="27">
        <v>918862</v>
      </c>
      <c r="AR12" s="27">
        <v>700537</v>
      </c>
      <c r="AS12" s="27">
        <v>0</v>
      </c>
      <c r="AT12" s="27">
        <v>0</v>
      </c>
      <c r="AU12" s="27">
        <v>398567</v>
      </c>
      <c r="AV12" s="27">
        <v>2300000</v>
      </c>
      <c r="AW12" s="27">
        <v>11157031</v>
      </c>
      <c r="AX12" s="27">
        <f t="shared" si="5"/>
        <v>13855598</v>
      </c>
      <c r="AY12" s="27">
        <v>156496</v>
      </c>
      <c r="AZ12" s="27">
        <v>403486</v>
      </c>
      <c r="BA12" s="27">
        <v>22524589</v>
      </c>
      <c r="BB12" s="27">
        <v>2462201</v>
      </c>
      <c r="BC12" s="27">
        <v>11157031</v>
      </c>
      <c r="BD12" s="27">
        <f t="shared" si="6"/>
        <v>36703803</v>
      </c>
      <c r="BE12" s="29">
        <f t="shared" si="7"/>
        <v>9.0677277837057455E-3</v>
      </c>
      <c r="BF12" s="29">
        <f t="shared" si="8"/>
        <v>0.16691073170530737</v>
      </c>
      <c r="BG12" s="29">
        <f t="shared" si="9"/>
        <v>0.89295192985786476</v>
      </c>
      <c r="BH12" s="42">
        <f>VLOOKUP(B12,Unemployment!$A$2:$F$193,6,0)</f>
        <v>-0.60000000000000053</v>
      </c>
      <c r="BI12" s="29">
        <f>VLOOKUP(B12,Zillow!$C$11:$R$193,16,0)</f>
        <v>1.1324596004580587E-2</v>
      </c>
      <c r="BJ12" s="5"/>
      <c r="BK12" s="6">
        <v>10</v>
      </c>
      <c r="BL12" s="6">
        <v>40</v>
      </c>
      <c r="BM12" s="6">
        <v>30</v>
      </c>
      <c r="BN12" s="6">
        <v>10</v>
      </c>
      <c r="BO12" s="6">
        <v>10</v>
      </c>
      <c r="BP12" s="5"/>
      <c r="BQ12" s="43">
        <v>0.2</v>
      </c>
      <c r="BR12" s="43">
        <v>0.02</v>
      </c>
      <c r="BS12" s="43">
        <v>2.2000000000000002</v>
      </c>
      <c r="BT12" s="44">
        <v>0.02</v>
      </c>
      <c r="BU12" s="43">
        <v>-7.0000000000000007E-2</v>
      </c>
      <c r="BV12" s="5"/>
      <c r="BW12" s="43">
        <v>0.05</v>
      </c>
      <c r="BX12" s="43">
        <v>0.32</v>
      </c>
      <c r="BY12" s="43">
        <v>0.4</v>
      </c>
      <c r="BZ12" s="44">
        <v>0</v>
      </c>
      <c r="CA12" s="43">
        <v>0.03</v>
      </c>
      <c r="CB12" s="5"/>
      <c r="CC12" s="45">
        <f t="shared" si="10"/>
        <v>-1.5000000000000003E-2</v>
      </c>
      <c r="CD12" s="45">
        <f t="shared" si="11"/>
        <v>7.4999999999999997E-3</v>
      </c>
      <c r="CE12" s="45">
        <f t="shared" si="12"/>
        <v>-6.0000000000000012E-2</v>
      </c>
      <c r="CF12" s="46">
        <f t="shared" si="13"/>
        <v>-2E-3</v>
      </c>
      <c r="CG12" s="45">
        <f t="shared" si="14"/>
        <v>0.01</v>
      </c>
      <c r="CH12" s="5"/>
      <c r="CI12" s="44">
        <f t="shared" si="15"/>
        <v>10</v>
      </c>
      <c r="CJ12" s="44">
        <f t="shared" si="16"/>
        <v>19.588097560707652</v>
      </c>
      <c r="CK12" s="44">
        <f t="shared" si="17"/>
        <v>21.784134502368918</v>
      </c>
      <c r="CL12" s="44">
        <f t="shared" si="18"/>
        <v>10</v>
      </c>
      <c r="CM12" s="44">
        <f t="shared" si="19"/>
        <v>8.1324596004580592</v>
      </c>
      <c r="CN12" s="47">
        <f t="shared" si="20"/>
        <v>0</v>
      </c>
      <c r="CO12" s="5"/>
      <c r="CP12" s="47">
        <f t="shared" si="21"/>
        <v>1.6567727783705747E-2</v>
      </c>
      <c r="CQ12" s="47">
        <f t="shared" si="22"/>
        <v>7.0910731705307387E-2</v>
      </c>
      <c r="CR12" s="47">
        <f t="shared" si="23"/>
        <v>1.612951929857865</v>
      </c>
      <c r="CS12" s="47">
        <f t="shared" si="24"/>
        <v>0.60000000000000053</v>
      </c>
      <c r="CT12" s="47">
        <f t="shared" si="25"/>
        <v>8.3245960045805877E-3</v>
      </c>
      <c r="CU12" s="47">
        <f t="shared" si="26"/>
        <v>2.3087549853514595</v>
      </c>
    </row>
    <row r="13" spans="1:256" ht="15" customHeight="1">
      <c r="A13" s="5"/>
      <c r="B13" s="37" t="s">
        <v>87</v>
      </c>
      <c r="C13" s="37" t="s">
        <v>252</v>
      </c>
      <c r="D13" s="37" t="s">
        <v>255</v>
      </c>
      <c r="E13" s="26">
        <v>42551</v>
      </c>
      <c r="F13" s="38">
        <f t="shared" si="2"/>
        <v>73.503458208358737</v>
      </c>
      <c r="G13" s="4">
        <f>31291621-20310429-5519976</f>
        <v>5461216</v>
      </c>
      <c r="H13" s="4">
        <f>6771836-4984374-671337</f>
        <v>1116125</v>
      </c>
      <c r="I13" s="4">
        <v>31291621</v>
      </c>
      <c r="J13" s="4">
        <v>24583217</v>
      </c>
      <c r="K13" s="4">
        <v>2732531</v>
      </c>
      <c r="L13" s="4">
        <v>20451474</v>
      </c>
      <c r="M13" s="4">
        <v>600721</v>
      </c>
      <c r="N13" s="4">
        <v>573906</v>
      </c>
      <c r="O13" s="4">
        <v>3225394</v>
      </c>
      <c r="P13" s="4">
        <f t="shared" si="3"/>
        <v>24851495</v>
      </c>
      <c r="Q13" s="4">
        <v>23668879</v>
      </c>
      <c r="R13" s="4">
        <v>1182616</v>
      </c>
      <c r="S13" s="27">
        <v>24113267</v>
      </c>
      <c r="T13" s="27">
        <v>23233534</v>
      </c>
      <c r="U13" s="27">
        <v>25099216</v>
      </c>
      <c r="V13" s="27">
        <v>25810823</v>
      </c>
      <c r="W13" s="27">
        <v>412733</v>
      </c>
      <c r="X13" s="27">
        <v>671337</v>
      </c>
      <c r="Y13" s="27">
        <v>241450</v>
      </c>
      <c r="Z13" s="27">
        <v>1140253</v>
      </c>
      <c r="AA13" s="27">
        <f>5655711-1140253-241450-671337</f>
        <v>3602671</v>
      </c>
      <c r="AB13" s="27">
        <f t="shared" si="27"/>
        <v>5655711</v>
      </c>
      <c r="AC13" s="27">
        <v>1140253</v>
      </c>
      <c r="AD13" s="27">
        <v>0</v>
      </c>
      <c r="AE13" s="27">
        <f>AC13+AD13</f>
        <v>1140253</v>
      </c>
      <c r="AF13" s="27">
        <v>0</v>
      </c>
      <c r="AG13" s="27">
        <v>118800</v>
      </c>
      <c r="AH13" s="27">
        <v>100400</v>
      </c>
      <c r="AI13" s="27">
        <v>10300</v>
      </c>
      <c r="AJ13" s="50" t="s">
        <v>260</v>
      </c>
      <c r="AK13" s="39">
        <v>0</v>
      </c>
      <c r="AL13" s="39">
        <v>1108800</v>
      </c>
      <c r="AM13" s="39">
        <v>1108800</v>
      </c>
      <c r="AN13" s="40">
        <f>AK13/AL13</f>
        <v>0</v>
      </c>
      <c r="AO13" s="40">
        <v>3.5000000000000003E-2</v>
      </c>
      <c r="AP13" s="50" t="s">
        <v>262</v>
      </c>
      <c r="AQ13" s="27">
        <f>45107+16413</f>
        <v>61520</v>
      </c>
      <c r="AR13" s="27">
        <f>45107+16000</f>
        <v>61107</v>
      </c>
      <c r="AS13" s="27">
        <v>51667</v>
      </c>
      <c r="AT13" s="27">
        <v>3300</v>
      </c>
      <c r="AU13" s="27">
        <v>0</v>
      </c>
      <c r="AV13" s="27">
        <v>0</v>
      </c>
      <c r="AW13" s="27">
        <v>3193549</v>
      </c>
      <c r="AX13" s="27">
        <f t="shared" si="5"/>
        <v>3248516</v>
      </c>
      <c r="AY13" s="27">
        <v>54517</v>
      </c>
      <c r="AZ13" s="27">
        <v>348980</v>
      </c>
      <c r="BA13" s="27">
        <v>458914</v>
      </c>
      <c r="BB13" s="27">
        <v>398905</v>
      </c>
      <c r="BC13" s="27">
        <v>2719714</v>
      </c>
      <c r="BD13" s="27">
        <f t="shared" si="6"/>
        <v>3981030</v>
      </c>
      <c r="BE13" s="29">
        <f t="shared" si="7"/>
        <v>2.4755049947699326E-3</v>
      </c>
      <c r="BF13" s="29">
        <f t="shared" si="8"/>
        <v>0.13982014100825127</v>
      </c>
      <c r="BG13" s="29">
        <f t="shared" si="9"/>
        <v>0.21786459929271862</v>
      </c>
      <c r="BH13" s="42">
        <f>VLOOKUP(B13,Unemployment!$A$2:$F$193,6,0)</f>
        <v>-0.50000000000000044</v>
      </c>
      <c r="BI13" s="29">
        <f>VLOOKUP(B13,Zillow!$C$11:$R$193,16,0)</f>
        <v>5.2743940725857082E-3</v>
      </c>
      <c r="BJ13" s="5"/>
      <c r="BK13" s="6">
        <v>10</v>
      </c>
      <c r="BL13" s="6">
        <v>40</v>
      </c>
      <c r="BM13" s="6">
        <v>30</v>
      </c>
      <c r="BN13" s="6">
        <v>10</v>
      </c>
      <c r="BO13" s="6">
        <v>10</v>
      </c>
      <c r="BP13" s="5"/>
      <c r="BQ13" s="43">
        <v>0.2</v>
      </c>
      <c r="BR13" s="43">
        <v>0.02</v>
      </c>
      <c r="BS13" s="43">
        <v>2.2000000000000002</v>
      </c>
      <c r="BT13" s="44">
        <v>0.02</v>
      </c>
      <c r="BU13" s="43">
        <v>-7.0000000000000007E-2</v>
      </c>
      <c r="BV13" s="5"/>
      <c r="BW13" s="43">
        <v>0.05</v>
      </c>
      <c r="BX13" s="43">
        <v>0.32</v>
      </c>
      <c r="BY13" s="43">
        <v>0.4</v>
      </c>
      <c r="BZ13" s="44">
        <v>0</v>
      </c>
      <c r="CA13" s="43">
        <v>0.03</v>
      </c>
      <c r="CB13" s="5"/>
      <c r="CC13" s="45">
        <f t="shared" si="10"/>
        <v>-1.5000000000000003E-2</v>
      </c>
      <c r="CD13" s="45">
        <f t="shared" si="11"/>
        <v>7.4999999999999997E-3</v>
      </c>
      <c r="CE13" s="45">
        <f t="shared" si="12"/>
        <v>-6.0000000000000012E-2</v>
      </c>
      <c r="CF13" s="46">
        <f t="shared" si="13"/>
        <v>-2E-3</v>
      </c>
      <c r="CG13" s="45">
        <f t="shared" si="14"/>
        <v>0.01</v>
      </c>
      <c r="CH13" s="5"/>
      <c r="CI13" s="44">
        <f t="shared" si="15"/>
        <v>10</v>
      </c>
      <c r="CJ13" s="44">
        <f t="shared" si="16"/>
        <v>15.976018801100169</v>
      </c>
      <c r="CK13" s="44">
        <f t="shared" si="17"/>
        <v>30</v>
      </c>
      <c r="CL13" s="44">
        <f t="shared" si="18"/>
        <v>10</v>
      </c>
      <c r="CM13" s="44">
        <f t="shared" si="19"/>
        <v>7.5274394072585711</v>
      </c>
      <c r="CN13" s="47">
        <f t="shared" si="20"/>
        <v>0</v>
      </c>
      <c r="CO13" s="5"/>
      <c r="CP13" s="47">
        <f t="shared" si="21"/>
        <v>9.9755049947699344E-3</v>
      </c>
      <c r="CQ13" s="47">
        <f t="shared" si="22"/>
        <v>4.3820141008251282E-2</v>
      </c>
      <c r="CR13" s="47">
        <f t="shared" si="23"/>
        <v>0.93786459929271881</v>
      </c>
      <c r="CS13" s="47">
        <f t="shared" si="24"/>
        <v>0.50000000000000044</v>
      </c>
      <c r="CT13" s="47">
        <f t="shared" si="25"/>
        <v>2.2743940725857086E-3</v>
      </c>
      <c r="CU13" s="47">
        <f t="shared" si="26"/>
        <v>1.4939346393683264</v>
      </c>
    </row>
    <row r="14" spans="1:256" ht="15" customHeight="1">
      <c r="A14" s="5"/>
      <c r="B14" s="37" t="s">
        <v>153</v>
      </c>
      <c r="C14" s="37" t="s">
        <v>252</v>
      </c>
      <c r="D14" s="37" t="s">
        <v>258</v>
      </c>
      <c r="E14" s="50" t="s">
        <v>263</v>
      </c>
      <c r="F14" s="38">
        <f t="shared" si="2"/>
        <v>85.314420576764817</v>
      </c>
      <c r="G14" s="4">
        <v>35178833</v>
      </c>
      <c r="H14" s="4">
        <v>19800835</v>
      </c>
      <c r="I14" s="4">
        <v>198289392</v>
      </c>
      <c r="J14" s="4">
        <v>118396844</v>
      </c>
      <c r="K14" s="4">
        <v>25127001</v>
      </c>
      <c r="L14" s="4">
        <f>61363537+198285+151686+16776</f>
        <v>61730284</v>
      </c>
      <c r="M14" s="4">
        <v>1525936</v>
      </c>
      <c r="N14" s="4">
        <v>10211456</v>
      </c>
      <c r="O14" s="4">
        <v>16042794</v>
      </c>
      <c r="P14" s="4">
        <f t="shared" si="3"/>
        <v>89510470</v>
      </c>
      <c r="Q14" s="4">
        <v>82640881</v>
      </c>
      <c r="R14" s="4">
        <v>6869589</v>
      </c>
      <c r="S14" s="27">
        <v>76575748</v>
      </c>
      <c r="T14" s="27">
        <v>72916208</v>
      </c>
      <c r="U14" s="27">
        <v>81647175</v>
      </c>
      <c r="V14" s="27">
        <v>81950725</v>
      </c>
      <c r="W14" s="27">
        <v>1979540</v>
      </c>
      <c r="X14" s="27">
        <v>3111621</v>
      </c>
      <c r="Y14" s="27">
        <v>10611774</v>
      </c>
      <c r="Z14" s="27">
        <v>6131078</v>
      </c>
      <c r="AA14" s="27">
        <f>50746351-6131078-10611774-3111621</f>
        <v>30891878</v>
      </c>
      <c r="AB14" s="27">
        <f>X14+Y14+Z14+AA14</f>
        <v>50746351</v>
      </c>
      <c r="AC14" s="27">
        <f t="shared" ref="AC14:AE14" si="28">2047390+3518950+831750</f>
        <v>6398090</v>
      </c>
      <c r="AD14" s="27">
        <v>0</v>
      </c>
      <c r="AE14" s="27">
        <f t="shared" si="28"/>
        <v>6398090</v>
      </c>
      <c r="AF14" s="27">
        <v>0</v>
      </c>
      <c r="AG14" s="27">
        <f>580811+563103+605601</f>
        <v>1749515</v>
      </c>
      <c r="AH14" s="27">
        <f>557638+640054+534349</f>
        <v>1732041</v>
      </c>
      <c r="AI14" s="27">
        <f>187742+4299+384081</f>
        <v>576122</v>
      </c>
      <c r="AJ14" s="50" t="s">
        <v>260</v>
      </c>
      <c r="AK14" s="51">
        <v>0</v>
      </c>
      <c r="AL14" s="39">
        <v>7581613</v>
      </c>
      <c r="AM14" s="39">
        <f>AL14-AK14</f>
        <v>7581613</v>
      </c>
      <c r="AN14" s="40">
        <f>AK14/AL14</f>
        <v>0</v>
      </c>
      <c r="AO14" s="49"/>
      <c r="AP14" s="40">
        <v>2.75E-2</v>
      </c>
      <c r="AQ14" s="27">
        <f>2013334+612450</f>
        <v>2625784</v>
      </c>
      <c r="AR14" s="27">
        <f>2751446+513000</f>
        <v>3264446</v>
      </c>
      <c r="AS14" s="27">
        <v>633029</v>
      </c>
      <c r="AT14" s="27">
        <v>0</v>
      </c>
      <c r="AU14" s="27">
        <v>380807</v>
      </c>
      <c r="AV14" s="27">
        <v>0</v>
      </c>
      <c r="AW14" s="27">
        <v>16549611</v>
      </c>
      <c r="AX14" s="27">
        <f t="shared" si="5"/>
        <v>17563447</v>
      </c>
      <c r="AY14" s="27">
        <v>633029</v>
      </c>
      <c r="AZ14" s="27">
        <v>478567</v>
      </c>
      <c r="BA14" s="27">
        <v>2696941</v>
      </c>
      <c r="BB14" s="27">
        <v>1071156</v>
      </c>
      <c r="BC14" s="27">
        <v>9665684</v>
      </c>
      <c r="BD14" s="27">
        <f t="shared" si="6"/>
        <v>14545377</v>
      </c>
      <c r="BE14" s="29">
        <f t="shared" si="7"/>
        <v>2.9334937019099554E-2</v>
      </c>
      <c r="BF14" s="29">
        <f t="shared" si="8"/>
        <v>0.24087164543718456</v>
      </c>
      <c r="BG14" s="29">
        <f t="shared" si="9"/>
        <v>0.44837857515439256</v>
      </c>
      <c r="BH14" s="42">
        <f>VLOOKUP(B14,Unemployment!$A$2:$F$193,6,0)</f>
        <v>-0.40000000000000036</v>
      </c>
      <c r="BI14" s="52">
        <f>VLOOKUP(VLOOKUP(B14,Counties!$A$20:$E$189,2,0),Zillow!$C$3:$R$10,16,0)</f>
        <v>-3.288225622865815E-3</v>
      </c>
      <c r="BJ14" s="5"/>
      <c r="BK14" s="6">
        <v>10</v>
      </c>
      <c r="BL14" s="6">
        <v>40</v>
      </c>
      <c r="BM14" s="6">
        <v>30</v>
      </c>
      <c r="BN14" s="6">
        <v>10</v>
      </c>
      <c r="BO14" s="6">
        <v>10</v>
      </c>
      <c r="BP14" s="5"/>
      <c r="BQ14" s="43">
        <v>0.2</v>
      </c>
      <c r="BR14" s="43">
        <v>0.02</v>
      </c>
      <c r="BS14" s="43">
        <v>2.2000000000000002</v>
      </c>
      <c r="BT14" s="44">
        <v>0.02</v>
      </c>
      <c r="BU14" s="43">
        <v>-7.0000000000000007E-2</v>
      </c>
      <c r="BV14" s="5"/>
      <c r="BW14" s="43">
        <v>0.05</v>
      </c>
      <c r="BX14" s="43">
        <v>0.32</v>
      </c>
      <c r="BY14" s="43">
        <v>0.4</v>
      </c>
      <c r="BZ14" s="44">
        <v>0</v>
      </c>
      <c r="CA14" s="43">
        <v>0.03</v>
      </c>
      <c r="CB14" s="5"/>
      <c r="CC14" s="45">
        <f t="shared" si="10"/>
        <v>-1.5000000000000003E-2</v>
      </c>
      <c r="CD14" s="45">
        <f t="shared" si="11"/>
        <v>7.4999999999999997E-3</v>
      </c>
      <c r="CE14" s="45">
        <f t="shared" si="12"/>
        <v>-6.0000000000000012E-2</v>
      </c>
      <c r="CF14" s="46">
        <f t="shared" si="13"/>
        <v>-2E-3</v>
      </c>
      <c r="CG14" s="45">
        <f t="shared" si="14"/>
        <v>0.01</v>
      </c>
      <c r="CH14" s="5"/>
      <c r="CI14" s="44">
        <f t="shared" si="15"/>
        <v>10</v>
      </c>
      <c r="CJ14" s="44">
        <f t="shared" si="16"/>
        <v>29.449552724957943</v>
      </c>
      <c r="CK14" s="44">
        <f t="shared" si="17"/>
        <v>29.193690414093457</v>
      </c>
      <c r="CL14" s="44">
        <f t="shared" si="18"/>
        <v>10</v>
      </c>
      <c r="CM14" s="44">
        <f t="shared" si="19"/>
        <v>6.6711774377134185</v>
      </c>
      <c r="CN14" s="47">
        <f t="shared" si="20"/>
        <v>0</v>
      </c>
      <c r="CO14" s="5"/>
      <c r="CP14" s="47">
        <f t="shared" si="21"/>
        <v>3.6834937019099553E-2</v>
      </c>
      <c r="CQ14" s="47">
        <f t="shared" si="22"/>
        <v>0.14487164543718456</v>
      </c>
      <c r="CR14" s="47">
        <f t="shared" si="23"/>
        <v>1.1683785751543927</v>
      </c>
      <c r="CS14" s="47">
        <f t="shared" si="24"/>
        <v>0.40000000000000036</v>
      </c>
      <c r="CT14" s="47">
        <f t="shared" si="25"/>
        <v>6.2882256228658142E-3</v>
      </c>
      <c r="CU14" s="47">
        <f t="shared" si="26"/>
        <v>1.7563733832335431</v>
      </c>
    </row>
    <row r="15" spans="1:256" ht="15" customHeight="1">
      <c r="A15" s="5"/>
      <c r="B15" s="37" t="s">
        <v>125</v>
      </c>
      <c r="C15" s="37" t="s">
        <v>252</v>
      </c>
      <c r="D15" s="37" t="s">
        <v>258</v>
      </c>
      <c r="E15" s="50" t="s">
        <v>263</v>
      </c>
      <c r="F15" s="38">
        <f t="shared" si="2"/>
        <v>78.002973287763197</v>
      </c>
      <c r="G15" s="4">
        <v>4435587</v>
      </c>
      <c r="H15" s="4">
        <v>262355</v>
      </c>
      <c r="I15" s="4">
        <v>10486164</v>
      </c>
      <c r="J15" s="4">
        <v>10095237</v>
      </c>
      <c r="K15" s="4">
        <v>3936489</v>
      </c>
      <c r="L15" s="4">
        <f>8525777+82303+16988</f>
        <v>8625068</v>
      </c>
      <c r="M15" s="4">
        <v>214199</v>
      </c>
      <c r="N15" s="4">
        <v>181263</v>
      </c>
      <c r="O15" s="4">
        <v>1863047</v>
      </c>
      <c r="P15" s="4">
        <f t="shared" si="3"/>
        <v>10883577</v>
      </c>
      <c r="Q15" s="4">
        <v>10587467</v>
      </c>
      <c r="R15" s="4">
        <v>296110</v>
      </c>
      <c r="S15" s="27">
        <v>10398136</v>
      </c>
      <c r="T15" s="27">
        <v>9601166</v>
      </c>
      <c r="U15" s="27">
        <v>10913485</v>
      </c>
      <c r="V15" s="27">
        <v>10980078</v>
      </c>
      <c r="W15" s="27">
        <v>138838</v>
      </c>
      <c r="X15" s="27">
        <v>0</v>
      </c>
      <c r="Y15" s="27">
        <v>3342</v>
      </c>
      <c r="Z15" s="27">
        <v>0</v>
      </c>
      <c r="AA15" s="27">
        <f>48572-3342-0</f>
        <v>45230</v>
      </c>
      <c r="AB15" s="27">
        <f>X15+Y15+Z15+AA15</f>
        <v>48572</v>
      </c>
      <c r="AC15" s="27"/>
      <c r="AD15" s="27"/>
      <c r="AE15" s="27"/>
      <c r="AF15" s="27">
        <v>0</v>
      </c>
      <c r="AG15" s="27"/>
      <c r="AH15" s="27"/>
      <c r="AI15" s="27"/>
      <c r="AJ15" s="26"/>
      <c r="AK15" s="53"/>
      <c r="AL15" s="39"/>
      <c r="AM15" s="39"/>
      <c r="AN15" s="40"/>
      <c r="AO15" s="40"/>
      <c r="AP15" s="49"/>
      <c r="AQ15" s="27">
        <v>89977</v>
      </c>
      <c r="AR15" s="27">
        <v>87388</v>
      </c>
      <c r="AS15" s="27">
        <v>0</v>
      </c>
      <c r="AT15" s="27">
        <v>0</v>
      </c>
      <c r="AU15" s="27">
        <f>300000+0+0</f>
        <v>300000</v>
      </c>
      <c r="AV15" s="27">
        <v>0</v>
      </c>
      <c r="AW15" s="27">
        <v>1465896</v>
      </c>
      <c r="AX15" s="27">
        <f t="shared" si="5"/>
        <v>1765896</v>
      </c>
      <c r="AY15" s="27">
        <f>5987+213699</f>
        <v>219686</v>
      </c>
      <c r="AZ15" s="27">
        <f>34595+73576</f>
        <v>108171</v>
      </c>
      <c r="BA15" s="27">
        <f>300000+264116+444850</f>
        <v>1008966</v>
      </c>
      <c r="BB15" s="27">
        <v>676460</v>
      </c>
      <c r="BC15" s="27">
        <v>1465896</v>
      </c>
      <c r="BD15" s="27">
        <f t="shared" si="6"/>
        <v>3479179</v>
      </c>
      <c r="BE15" s="29">
        <f t="shared" si="7"/>
        <v>8.2672268501431095E-3</v>
      </c>
      <c r="BF15" s="29">
        <f t="shared" si="8"/>
        <v>0.18392516075651644</v>
      </c>
      <c r="BG15" s="29">
        <f t="shared" si="9"/>
        <v>4.1558028210761959E-3</v>
      </c>
      <c r="BH15" s="42">
        <f>VLOOKUP(B15,Unemployment!$A$2:$F$193,6,0)</f>
        <v>-0.19999999999999929</v>
      </c>
      <c r="BI15" s="29">
        <f>VLOOKUP(B15,Zillow!$C$11:$R$193,16,0)</f>
        <v>-8.537148131056627E-3</v>
      </c>
      <c r="BJ15" s="5"/>
      <c r="BK15" s="6">
        <v>10</v>
      </c>
      <c r="BL15" s="6">
        <v>40</v>
      </c>
      <c r="BM15" s="6">
        <v>30</v>
      </c>
      <c r="BN15" s="6">
        <v>10</v>
      </c>
      <c r="BO15" s="6">
        <v>10</v>
      </c>
      <c r="BP15" s="5"/>
      <c r="BQ15" s="43">
        <v>0.2</v>
      </c>
      <c r="BR15" s="43">
        <v>0.02</v>
      </c>
      <c r="BS15" s="43">
        <v>2.2000000000000002</v>
      </c>
      <c r="BT15" s="44">
        <v>0.02</v>
      </c>
      <c r="BU15" s="43">
        <v>-7.0000000000000007E-2</v>
      </c>
      <c r="BV15" s="5"/>
      <c r="BW15" s="43">
        <v>0.05</v>
      </c>
      <c r="BX15" s="43">
        <v>0.32</v>
      </c>
      <c r="BY15" s="43">
        <v>0.4</v>
      </c>
      <c r="BZ15" s="44">
        <v>0</v>
      </c>
      <c r="CA15" s="43">
        <v>0.03</v>
      </c>
      <c r="CB15" s="5"/>
      <c r="CC15" s="45">
        <f t="shared" si="10"/>
        <v>-1.5000000000000003E-2</v>
      </c>
      <c r="CD15" s="45">
        <f t="shared" si="11"/>
        <v>7.4999999999999997E-3</v>
      </c>
      <c r="CE15" s="45">
        <f t="shared" si="12"/>
        <v>-6.0000000000000012E-2</v>
      </c>
      <c r="CF15" s="46">
        <f t="shared" si="13"/>
        <v>-2E-3</v>
      </c>
      <c r="CG15" s="45">
        <f t="shared" si="14"/>
        <v>0.01</v>
      </c>
      <c r="CH15" s="5"/>
      <c r="CI15" s="44">
        <f t="shared" si="15"/>
        <v>10</v>
      </c>
      <c r="CJ15" s="44">
        <f t="shared" si="16"/>
        <v>21.856688100868862</v>
      </c>
      <c r="CK15" s="44">
        <f t="shared" si="17"/>
        <v>30</v>
      </c>
      <c r="CL15" s="44">
        <f t="shared" si="18"/>
        <v>10</v>
      </c>
      <c r="CM15" s="44">
        <f t="shared" si="19"/>
        <v>6.146285186894338</v>
      </c>
      <c r="CN15" s="47">
        <f t="shared" si="20"/>
        <v>0</v>
      </c>
      <c r="CO15" s="5"/>
      <c r="CP15" s="47">
        <f t="shared" si="21"/>
        <v>1.5767226850143111E-2</v>
      </c>
      <c r="CQ15" s="47">
        <f t="shared" si="22"/>
        <v>8.7925160756516449E-2</v>
      </c>
      <c r="CR15" s="47">
        <f t="shared" si="23"/>
        <v>0.72415580282107639</v>
      </c>
      <c r="CS15" s="47">
        <f t="shared" si="24"/>
        <v>0.19999999999999929</v>
      </c>
      <c r="CT15" s="47">
        <f t="shared" si="25"/>
        <v>1.1537148131056626E-2</v>
      </c>
      <c r="CU15" s="47">
        <f t="shared" si="26"/>
        <v>1.0393853385587919</v>
      </c>
    </row>
    <row r="16" spans="1:256" ht="15" customHeight="1">
      <c r="A16" s="5"/>
      <c r="B16" s="37" t="s">
        <v>53</v>
      </c>
      <c r="C16" s="37" t="s">
        <v>252</v>
      </c>
      <c r="D16" s="37" t="s">
        <v>255</v>
      </c>
      <c r="E16" s="26">
        <v>42551</v>
      </c>
      <c r="F16" s="38">
        <f t="shared" si="2"/>
        <v>67.800808556035065</v>
      </c>
      <c r="G16" s="4">
        <f>225458830-137685246-42303302</f>
        <v>45470282</v>
      </c>
      <c r="H16" s="4">
        <f>168408691-157708476-5199850</f>
        <v>5500365</v>
      </c>
      <c r="I16" s="4">
        <v>225458830</v>
      </c>
      <c r="J16" s="4">
        <v>60292943</v>
      </c>
      <c r="K16" s="4">
        <v>-64646337</v>
      </c>
      <c r="L16" s="4">
        <v>74016639</v>
      </c>
      <c r="M16" s="4">
        <v>2275184</v>
      </c>
      <c r="N16" s="4">
        <v>8470918</v>
      </c>
      <c r="O16" s="4">
        <v>21392564</v>
      </c>
      <c r="P16" s="4">
        <f t="shared" si="3"/>
        <v>106155305</v>
      </c>
      <c r="Q16" s="4">
        <v>103445650</v>
      </c>
      <c r="R16" s="4">
        <v>2709655</v>
      </c>
      <c r="S16" s="27">
        <v>89140280</v>
      </c>
      <c r="T16" s="27">
        <v>85833657</v>
      </c>
      <c r="U16" s="27">
        <v>104514891</v>
      </c>
      <c r="V16" s="27">
        <v>104166278</v>
      </c>
      <c r="W16" s="27">
        <v>987377</v>
      </c>
      <c r="X16" s="27">
        <v>5199858</v>
      </c>
      <c r="Y16" s="27">
        <v>35393708</v>
      </c>
      <c r="Z16" s="27">
        <v>49104732</v>
      </c>
      <c r="AA16" s="27">
        <f>AB16-X16-Y16-Z16</f>
        <v>73210036</v>
      </c>
      <c r="AB16" s="27">
        <v>162908334</v>
      </c>
      <c r="AC16" s="27">
        <v>49104732</v>
      </c>
      <c r="AD16" s="27">
        <v>0</v>
      </c>
      <c r="AE16" s="27">
        <f>AC16+AD16</f>
        <v>49104732</v>
      </c>
      <c r="AF16" s="27">
        <v>0</v>
      </c>
      <c r="AG16" s="27">
        <v>8016863</v>
      </c>
      <c r="AH16" s="27">
        <v>7849562</v>
      </c>
      <c r="AI16" s="27">
        <v>3475807</v>
      </c>
      <c r="AJ16" s="26">
        <v>41821</v>
      </c>
      <c r="AK16" s="39">
        <v>2369726</v>
      </c>
      <c r="AL16" s="39">
        <v>64892076</v>
      </c>
      <c r="AM16" s="39">
        <f>AL16-AK16</f>
        <v>62522350</v>
      </c>
      <c r="AN16" s="40">
        <f>AK16/AL16</f>
        <v>3.6517956368047153E-2</v>
      </c>
      <c r="AO16" s="40">
        <v>7.4999999999999997E-2</v>
      </c>
      <c r="AP16" s="40">
        <v>0.05</v>
      </c>
      <c r="AQ16" s="27">
        <f>2571995+2051665</f>
        <v>4623660</v>
      </c>
      <c r="AR16" s="27">
        <f>2572003+2051670</f>
        <v>4623673</v>
      </c>
      <c r="AS16" s="27">
        <v>0</v>
      </c>
      <c r="AT16" s="27">
        <v>0</v>
      </c>
      <c r="AU16" s="27">
        <v>0</v>
      </c>
      <c r="AV16" s="27">
        <v>1551424</v>
      </c>
      <c r="AW16" s="27">
        <v>16599688</v>
      </c>
      <c r="AX16" s="27">
        <f t="shared" si="5"/>
        <v>18151112</v>
      </c>
      <c r="AY16" s="27">
        <v>15640</v>
      </c>
      <c r="AZ16" s="27">
        <v>8583427</v>
      </c>
      <c r="BA16" s="27">
        <v>1505612</v>
      </c>
      <c r="BB16" s="27">
        <v>1551424</v>
      </c>
      <c r="BC16" s="27">
        <v>16403292</v>
      </c>
      <c r="BD16" s="27">
        <f t="shared" si="6"/>
        <v>28059395</v>
      </c>
      <c r="BE16" s="29">
        <f t="shared" si="7"/>
        <v>4.3555618817166041E-2</v>
      </c>
      <c r="BF16" s="29">
        <f t="shared" si="8"/>
        <v>0.21146846859851259</v>
      </c>
      <c r="BG16" s="29">
        <f t="shared" si="9"/>
        <v>1.2012082297724076</v>
      </c>
      <c r="BH16" s="42">
        <f>VLOOKUP(B16,Unemployment!$A$2:$F$193,6,0)</f>
        <v>-0.79999999999999982</v>
      </c>
      <c r="BI16" s="29">
        <f>VLOOKUP(B16,Zillow!$C$11:$R$193,16,0)</f>
        <v>-1.374850094226486E-2</v>
      </c>
      <c r="BJ16" s="5"/>
      <c r="BK16" s="6">
        <v>10</v>
      </c>
      <c r="BL16" s="6">
        <v>40</v>
      </c>
      <c r="BM16" s="6">
        <v>30</v>
      </c>
      <c r="BN16" s="6">
        <v>10</v>
      </c>
      <c r="BO16" s="6">
        <v>10</v>
      </c>
      <c r="BP16" s="5"/>
      <c r="BQ16" s="43">
        <v>0.2</v>
      </c>
      <c r="BR16" s="43">
        <v>0.02</v>
      </c>
      <c r="BS16" s="43">
        <v>2.2000000000000002</v>
      </c>
      <c r="BT16" s="44">
        <v>0.02</v>
      </c>
      <c r="BU16" s="43">
        <v>-7.0000000000000007E-2</v>
      </c>
      <c r="BV16" s="5"/>
      <c r="BW16" s="43">
        <v>0.05</v>
      </c>
      <c r="BX16" s="43">
        <v>0.32</v>
      </c>
      <c r="BY16" s="43">
        <v>0.4</v>
      </c>
      <c r="BZ16" s="44">
        <v>0</v>
      </c>
      <c r="CA16" s="43">
        <v>0.03</v>
      </c>
      <c r="CB16" s="5"/>
      <c r="CC16" s="45">
        <f t="shared" si="10"/>
        <v>-1.5000000000000003E-2</v>
      </c>
      <c r="CD16" s="45">
        <f t="shared" si="11"/>
        <v>7.4999999999999997E-3</v>
      </c>
      <c r="CE16" s="45">
        <f t="shared" si="12"/>
        <v>-6.0000000000000012E-2</v>
      </c>
      <c r="CF16" s="46">
        <f t="shared" si="13"/>
        <v>-2E-3</v>
      </c>
      <c r="CG16" s="45">
        <f t="shared" si="14"/>
        <v>0.01</v>
      </c>
      <c r="CH16" s="5"/>
      <c r="CI16" s="44">
        <f t="shared" si="15"/>
        <v>10</v>
      </c>
      <c r="CJ16" s="44">
        <f t="shared" si="16"/>
        <v>25.52912914646835</v>
      </c>
      <c r="CK16" s="44">
        <f t="shared" si="17"/>
        <v>16.646529503793207</v>
      </c>
      <c r="CL16" s="44">
        <f t="shared" si="18"/>
        <v>10</v>
      </c>
      <c r="CM16" s="44">
        <f t="shared" si="19"/>
        <v>5.6251499057735144</v>
      </c>
      <c r="CN16" s="47">
        <f t="shared" si="20"/>
        <v>0</v>
      </c>
      <c r="CO16" s="5"/>
      <c r="CP16" s="47">
        <f t="shared" si="21"/>
        <v>5.105561881716604E-2</v>
      </c>
      <c r="CQ16" s="47">
        <f t="shared" si="22"/>
        <v>0.11546846859851261</v>
      </c>
      <c r="CR16" s="47">
        <f t="shared" si="23"/>
        <v>1.9212082297724078</v>
      </c>
      <c r="CS16" s="47">
        <f t="shared" si="24"/>
        <v>0.79999999999999982</v>
      </c>
      <c r="CT16" s="47">
        <f t="shared" si="25"/>
        <v>1.6748500942264859E-2</v>
      </c>
      <c r="CU16" s="47">
        <f t="shared" si="26"/>
        <v>2.904480818130351</v>
      </c>
    </row>
    <row r="17" spans="1:99" ht="15" customHeight="1">
      <c r="A17" s="5"/>
      <c r="B17" s="37" t="s">
        <v>70</v>
      </c>
      <c r="C17" s="37" t="s">
        <v>252</v>
      </c>
      <c r="D17" s="37" t="s">
        <v>255</v>
      </c>
      <c r="E17" s="26">
        <v>42551</v>
      </c>
      <c r="F17" s="38">
        <f t="shared" si="2"/>
        <v>70.608502736818835</v>
      </c>
      <c r="G17" s="4">
        <v>4247874</v>
      </c>
      <c r="H17" s="4">
        <f>332680+83428+2801+464729</f>
        <v>883638</v>
      </c>
      <c r="I17" s="4">
        <v>48241513</v>
      </c>
      <c r="J17" s="4">
        <v>34186535</v>
      </c>
      <c r="K17" s="4">
        <v>1527731</v>
      </c>
      <c r="L17" s="4">
        <v>16212940</v>
      </c>
      <c r="M17" s="4">
        <v>168145</v>
      </c>
      <c r="N17" s="4">
        <v>1265977</v>
      </c>
      <c r="O17" s="4">
        <v>6023571</v>
      </c>
      <c r="P17" s="4">
        <f t="shared" si="3"/>
        <v>23670633</v>
      </c>
      <c r="Q17" s="4">
        <v>22956765</v>
      </c>
      <c r="R17" s="4">
        <v>713868</v>
      </c>
      <c r="S17" s="27">
        <v>21353960</v>
      </c>
      <c r="T17" s="27">
        <v>20410704</v>
      </c>
      <c r="U17" s="27">
        <v>23631479</v>
      </c>
      <c r="V17" s="27">
        <v>23342096</v>
      </c>
      <c r="W17" s="27">
        <v>472071</v>
      </c>
      <c r="X17" s="27">
        <v>854348</v>
      </c>
      <c r="Y17" s="27">
        <v>0</v>
      </c>
      <c r="Z17" s="27">
        <v>1482801</v>
      </c>
      <c r="AA17" s="27">
        <f>AB17-X17-Y17-Z17</f>
        <v>10834191</v>
      </c>
      <c r="AB17" s="27">
        <v>13171340</v>
      </c>
      <c r="AC17" s="27">
        <v>1482801</v>
      </c>
      <c r="AD17" s="27">
        <v>0</v>
      </c>
      <c r="AE17" s="27">
        <f>AC17+AD17</f>
        <v>1482801</v>
      </c>
      <c r="AF17" s="27">
        <v>0</v>
      </c>
      <c r="AG17" s="27">
        <v>224500</v>
      </c>
      <c r="AH17" s="27">
        <v>203411</v>
      </c>
      <c r="AI17" s="27">
        <v>71000</v>
      </c>
      <c r="AJ17" s="26">
        <v>42186</v>
      </c>
      <c r="AK17" s="39">
        <v>0</v>
      </c>
      <c r="AL17" s="39">
        <v>2900000</v>
      </c>
      <c r="AM17" s="39">
        <f>AL17-AK17</f>
        <v>2900000</v>
      </c>
      <c r="AN17" s="40">
        <f>AK17/AL17</f>
        <v>0</v>
      </c>
      <c r="AO17" s="40">
        <v>3.7499999999999999E-2</v>
      </c>
      <c r="AP17" s="40">
        <v>0.03</v>
      </c>
      <c r="AQ17" s="27"/>
      <c r="AR17" s="27"/>
      <c r="AS17" s="27">
        <v>107500</v>
      </c>
      <c r="AT17" s="27">
        <v>0</v>
      </c>
      <c r="AU17" s="27">
        <v>30000</v>
      </c>
      <c r="AV17" s="27">
        <v>1387152</v>
      </c>
      <c r="AW17" s="27">
        <v>1381546</v>
      </c>
      <c r="AX17" s="27">
        <f t="shared" si="5"/>
        <v>2906198</v>
      </c>
      <c r="AY17" s="27">
        <v>320400</v>
      </c>
      <c r="AZ17" s="27">
        <v>998111</v>
      </c>
      <c r="BA17" s="27">
        <v>926259</v>
      </c>
      <c r="BB17" s="27">
        <v>2335512</v>
      </c>
      <c r="BC17" s="27">
        <v>-157392</v>
      </c>
      <c r="BD17" s="27">
        <f t="shared" si="6"/>
        <v>4422890</v>
      </c>
      <c r="BE17" s="29">
        <f t="shared" si="7"/>
        <v>0</v>
      </c>
      <c r="BF17" s="29">
        <f t="shared" si="8"/>
        <v>0.14238597551559221</v>
      </c>
      <c r="BG17" s="29">
        <f t="shared" si="9"/>
        <v>0.55644223794099634</v>
      </c>
      <c r="BH17" s="42">
        <f>VLOOKUP(B17,Unemployment!$A$2:$F$193,6,0)</f>
        <v>-0.29999999999999982</v>
      </c>
      <c r="BI17" s="29">
        <f>VLOOKUP(B17,Zillow!$C$11:$R$193,16,0)</f>
        <v>-1.0225669957685242E-3</v>
      </c>
      <c r="BJ17" s="5"/>
      <c r="BK17" s="6">
        <v>10</v>
      </c>
      <c r="BL17" s="6">
        <v>40</v>
      </c>
      <c r="BM17" s="6">
        <v>30</v>
      </c>
      <c r="BN17" s="6">
        <v>10</v>
      </c>
      <c r="BO17" s="6">
        <v>10</v>
      </c>
      <c r="BP17" s="5"/>
      <c r="BQ17" s="43">
        <v>0.2</v>
      </c>
      <c r="BR17" s="43">
        <v>0.02</v>
      </c>
      <c r="BS17" s="43">
        <v>2.2000000000000002</v>
      </c>
      <c r="BT17" s="44">
        <v>0.02</v>
      </c>
      <c r="BU17" s="43">
        <v>-7.0000000000000007E-2</v>
      </c>
      <c r="BV17" s="5"/>
      <c r="BW17" s="43">
        <v>0.05</v>
      </c>
      <c r="BX17" s="43">
        <v>0.32</v>
      </c>
      <c r="BY17" s="43">
        <v>0.4</v>
      </c>
      <c r="BZ17" s="44">
        <v>0</v>
      </c>
      <c r="CA17" s="43">
        <v>0.03</v>
      </c>
      <c r="CB17" s="5"/>
      <c r="CC17" s="45">
        <f t="shared" si="10"/>
        <v>-1.5000000000000003E-2</v>
      </c>
      <c r="CD17" s="45">
        <f t="shared" si="11"/>
        <v>7.4999999999999997E-3</v>
      </c>
      <c r="CE17" s="45">
        <f t="shared" si="12"/>
        <v>-6.0000000000000012E-2</v>
      </c>
      <c r="CF17" s="46">
        <f t="shared" si="13"/>
        <v>-2E-3</v>
      </c>
      <c r="CG17" s="45">
        <f t="shared" si="14"/>
        <v>0.01</v>
      </c>
      <c r="CH17" s="5"/>
      <c r="CI17" s="44">
        <f t="shared" si="15"/>
        <v>10</v>
      </c>
      <c r="CJ17" s="44">
        <f t="shared" si="16"/>
        <v>16.318130068745628</v>
      </c>
      <c r="CK17" s="44">
        <f t="shared" si="17"/>
        <v>27.392629367650059</v>
      </c>
      <c r="CL17" s="44">
        <f t="shared" si="18"/>
        <v>10</v>
      </c>
      <c r="CM17" s="44">
        <f t="shared" si="19"/>
        <v>6.8977433004231479</v>
      </c>
      <c r="CN17" s="47">
        <f t="shared" si="20"/>
        <v>0</v>
      </c>
      <c r="CO17" s="5"/>
      <c r="CP17" s="47">
        <f t="shared" si="21"/>
        <v>7.5000000000000023E-3</v>
      </c>
      <c r="CQ17" s="47">
        <f t="shared" si="22"/>
        <v>4.6385975515592218E-2</v>
      </c>
      <c r="CR17" s="47">
        <f t="shared" si="23"/>
        <v>1.2764422379409965</v>
      </c>
      <c r="CS17" s="47">
        <f t="shared" si="24"/>
        <v>0.29999999999999982</v>
      </c>
      <c r="CT17" s="47">
        <f t="shared" si="25"/>
        <v>4.022566995768524E-3</v>
      </c>
      <c r="CU17" s="47">
        <f t="shared" si="26"/>
        <v>1.6343507804523572</v>
      </c>
    </row>
    <row r="18" spans="1:99" ht="15" customHeight="1">
      <c r="A18" s="5"/>
      <c r="B18" s="37" t="s">
        <v>43</v>
      </c>
      <c r="C18" s="37" t="s">
        <v>252</v>
      </c>
      <c r="D18" s="37" t="s">
        <v>255</v>
      </c>
      <c r="E18" s="26">
        <v>42551</v>
      </c>
      <c r="F18" s="38">
        <f t="shared" si="2"/>
        <v>65.98025256138277</v>
      </c>
      <c r="G18" s="4">
        <f>10531457-171700-8996348</f>
        <v>1363409</v>
      </c>
      <c r="H18" s="4">
        <f>4340341-3594958-358689</f>
        <v>386694</v>
      </c>
      <c r="I18" s="4">
        <v>10531457</v>
      </c>
      <c r="J18" s="4">
        <v>6319287</v>
      </c>
      <c r="K18" s="4">
        <v>115071</v>
      </c>
      <c r="L18" s="4">
        <v>6272167</v>
      </c>
      <c r="M18" s="4">
        <v>52725</v>
      </c>
      <c r="N18" s="4">
        <v>278381</v>
      </c>
      <c r="O18" s="4">
        <v>2176184</v>
      </c>
      <c r="P18" s="4">
        <f t="shared" si="3"/>
        <v>8779457</v>
      </c>
      <c r="Q18" s="4">
        <v>8308521</v>
      </c>
      <c r="R18" s="4">
        <v>470936</v>
      </c>
      <c r="S18" s="27">
        <v>8519509</v>
      </c>
      <c r="T18" s="27">
        <v>8180180</v>
      </c>
      <c r="U18" s="27">
        <v>8788103</v>
      </c>
      <c r="V18" s="27">
        <v>8438174</v>
      </c>
      <c r="W18" s="27">
        <v>339329</v>
      </c>
      <c r="X18" s="27">
        <v>358689</v>
      </c>
      <c r="Y18" s="27">
        <v>405338</v>
      </c>
      <c r="Z18" s="27">
        <v>591740</v>
      </c>
      <c r="AA18" s="27">
        <f>3953647-591740-405338-358689</f>
        <v>2597880</v>
      </c>
      <c r="AB18" s="27">
        <f>SUM(X18:AA18)</f>
        <v>3953647</v>
      </c>
      <c r="AC18" s="27">
        <v>591740</v>
      </c>
      <c r="AD18" s="27">
        <v>0</v>
      </c>
      <c r="AE18" s="27">
        <f>AC18+AD18</f>
        <v>591740</v>
      </c>
      <c r="AF18" s="27">
        <v>0</v>
      </c>
      <c r="AG18" s="27">
        <v>135290</v>
      </c>
      <c r="AH18" s="27">
        <v>129090</v>
      </c>
      <c r="AI18" s="27">
        <v>10158</v>
      </c>
      <c r="AJ18" s="50" t="s">
        <v>263</v>
      </c>
      <c r="AK18" s="39">
        <v>0</v>
      </c>
      <c r="AL18" s="39">
        <v>1153978</v>
      </c>
      <c r="AM18" s="39">
        <v>1153978</v>
      </c>
      <c r="AN18" s="40">
        <f>AK18/AL18</f>
        <v>0</v>
      </c>
      <c r="AO18" s="40">
        <v>3.5000000000000003E-2</v>
      </c>
      <c r="AP18" s="50" t="s">
        <v>264</v>
      </c>
      <c r="AQ18" s="27">
        <v>97407</v>
      </c>
      <c r="AR18" s="27">
        <v>97407</v>
      </c>
      <c r="AS18" s="27">
        <v>0</v>
      </c>
      <c r="AT18" s="27">
        <v>0</v>
      </c>
      <c r="AU18" s="27">
        <v>0</v>
      </c>
      <c r="AV18" s="27">
        <v>0</v>
      </c>
      <c r="AW18" s="27">
        <v>650944</v>
      </c>
      <c r="AX18" s="27">
        <f t="shared" si="5"/>
        <v>650944</v>
      </c>
      <c r="AY18" s="27">
        <v>12192</v>
      </c>
      <c r="AZ18" s="27">
        <v>117</v>
      </c>
      <c r="BA18" s="27">
        <v>0</v>
      </c>
      <c r="BB18" s="27">
        <v>206160</v>
      </c>
      <c r="BC18" s="27">
        <v>647923</v>
      </c>
      <c r="BD18" s="27">
        <f t="shared" si="6"/>
        <v>866392</v>
      </c>
      <c r="BE18" s="29">
        <f t="shared" si="7"/>
        <v>1.1094877507800312E-2</v>
      </c>
      <c r="BF18" s="29">
        <f t="shared" si="8"/>
        <v>7.9575755056734698E-2</v>
      </c>
      <c r="BG18" s="29">
        <f t="shared" si="9"/>
        <v>0.4041604167547036</v>
      </c>
      <c r="BH18" s="42">
        <f>VLOOKUP(B18,Unemployment!$A$2:$F$193,6,0)</f>
        <v>-0.80000000000000071</v>
      </c>
      <c r="BI18" s="29">
        <f>VLOOKUP(B18,Zillow!$C$11:$R$193,16,0)</f>
        <v>1.106158833063209E-2</v>
      </c>
      <c r="BJ18" s="5"/>
      <c r="BK18" s="6">
        <v>10</v>
      </c>
      <c r="BL18" s="6">
        <v>40</v>
      </c>
      <c r="BM18" s="6">
        <v>30</v>
      </c>
      <c r="BN18" s="6">
        <v>10</v>
      </c>
      <c r="BO18" s="6">
        <v>10</v>
      </c>
      <c r="BP18" s="5"/>
      <c r="BQ18" s="43">
        <v>0.2</v>
      </c>
      <c r="BR18" s="43">
        <v>0.02</v>
      </c>
      <c r="BS18" s="43">
        <v>2.2000000000000002</v>
      </c>
      <c r="BT18" s="44">
        <v>0.02</v>
      </c>
      <c r="BU18" s="43">
        <v>-7.0000000000000007E-2</v>
      </c>
      <c r="BV18" s="5"/>
      <c r="BW18" s="43">
        <v>0.05</v>
      </c>
      <c r="BX18" s="43">
        <v>0.32</v>
      </c>
      <c r="BY18" s="43">
        <v>0.4</v>
      </c>
      <c r="BZ18" s="44">
        <v>0</v>
      </c>
      <c r="CA18" s="43">
        <v>0.03</v>
      </c>
      <c r="CB18" s="5"/>
      <c r="CC18" s="45">
        <f t="shared" si="10"/>
        <v>-1.5000000000000003E-2</v>
      </c>
      <c r="CD18" s="45">
        <f t="shared" si="11"/>
        <v>7.4999999999999997E-3</v>
      </c>
      <c r="CE18" s="45">
        <f t="shared" si="12"/>
        <v>-6.0000000000000012E-2</v>
      </c>
      <c r="CF18" s="46">
        <f t="shared" si="13"/>
        <v>-2E-3</v>
      </c>
      <c r="CG18" s="45">
        <f t="shared" si="14"/>
        <v>0.01</v>
      </c>
      <c r="CH18" s="5"/>
      <c r="CI18" s="44">
        <f t="shared" si="15"/>
        <v>10</v>
      </c>
      <c r="CJ18" s="44">
        <f t="shared" si="16"/>
        <v>7.9434340075646261</v>
      </c>
      <c r="CK18" s="44">
        <f t="shared" si="17"/>
        <v>29.930659720754935</v>
      </c>
      <c r="CL18" s="44">
        <f t="shared" si="18"/>
        <v>10</v>
      </c>
      <c r="CM18" s="44">
        <f t="shared" si="19"/>
        <v>8.1061588330632102</v>
      </c>
      <c r="CN18" s="47">
        <f t="shared" si="20"/>
        <v>0</v>
      </c>
      <c r="CO18" s="5"/>
      <c r="CP18" s="47">
        <f t="shared" si="21"/>
        <v>1.8594877507800315E-2</v>
      </c>
      <c r="CQ18" s="47">
        <f t="shared" si="22"/>
        <v>1.642424494326529E-2</v>
      </c>
      <c r="CR18" s="47">
        <f t="shared" si="23"/>
        <v>1.1241604167547039</v>
      </c>
      <c r="CS18" s="47">
        <f t="shared" si="24"/>
        <v>0.80000000000000071</v>
      </c>
      <c r="CT18" s="47">
        <f t="shared" si="25"/>
        <v>8.0615883306320909E-3</v>
      </c>
      <c r="CU18" s="47">
        <f t="shared" si="26"/>
        <v>1.9672411275364023</v>
      </c>
    </row>
    <row r="19" spans="1:99" ht="15" customHeight="1">
      <c r="A19" s="5"/>
      <c r="B19" s="37" t="s">
        <v>152</v>
      </c>
      <c r="C19" s="37" t="s">
        <v>252</v>
      </c>
      <c r="D19" s="37" t="s">
        <v>255</v>
      </c>
      <c r="E19" s="26">
        <v>42551</v>
      </c>
      <c r="F19" s="38">
        <f t="shared" si="2"/>
        <v>85.278753055264417</v>
      </c>
      <c r="G19" s="4">
        <f>214437927-107420027-22659564</f>
        <v>84358336</v>
      </c>
      <c r="H19" s="4">
        <f>69264710-54171101-8741267</f>
        <v>6352342</v>
      </c>
      <c r="I19" s="4">
        <v>214437927</v>
      </c>
      <c r="J19" s="4">
        <v>144436372</v>
      </c>
      <c r="K19" s="4">
        <v>52939054</v>
      </c>
      <c r="L19" s="4">
        <v>96535371</v>
      </c>
      <c r="M19" s="4">
        <v>3823737</v>
      </c>
      <c r="N19" s="4">
        <v>10115476</v>
      </c>
      <c r="O19" s="4">
        <v>15376017</v>
      </c>
      <c r="P19" s="4">
        <f t="shared" si="3"/>
        <v>125850601</v>
      </c>
      <c r="Q19" s="4">
        <v>112902078</v>
      </c>
      <c r="R19" s="4">
        <v>12948523</v>
      </c>
      <c r="S19" s="27">
        <v>108909565</v>
      </c>
      <c r="T19" s="27">
        <v>105369094</v>
      </c>
      <c r="U19" s="27">
        <v>122223971</v>
      </c>
      <c r="V19" s="27">
        <v>121685366</v>
      </c>
      <c r="W19" s="27">
        <v>-142323</v>
      </c>
      <c r="X19" s="27">
        <v>8741267</v>
      </c>
      <c r="Y19" s="27">
        <v>15132347</v>
      </c>
      <c r="Z19" s="27">
        <v>0</v>
      </c>
      <c r="AA19" s="27">
        <f>62912368-0-15132347-8741267</f>
        <v>39038754</v>
      </c>
      <c r="AB19" s="27">
        <f>SUM(X19:AA19)</f>
        <v>62912368</v>
      </c>
      <c r="AC19" s="27">
        <v>411000</v>
      </c>
      <c r="AD19" s="27">
        <v>0</v>
      </c>
      <c r="AE19" s="27">
        <f>AC19+AD19</f>
        <v>411000</v>
      </c>
      <c r="AF19" s="27">
        <v>0</v>
      </c>
      <c r="AG19" s="27">
        <v>1847900</v>
      </c>
      <c r="AH19" s="27">
        <v>1851600</v>
      </c>
      <c r="AI19" s="27">
        <v>1560200</v>
      </c>
      <c r="AJ19" s="50" t="s">
        <v>259</v>
      </c>
      <c r="AK19" s="39">
        <v>9510785</v>
      </c>
      <c r="AL19" s="39">
        <v>22798733</v>
      </c>
      <c r="AM19" s="39">
        <f>AL19-AK19</f>
        <v>13287948</v>
      </c>
      <c r="AN19" s="40">
        <f>AK19/AL19</f>
        <v>0.41716287479659503</v>
      </c>
      <c r="AO19" s="49"/>
      <c r="AP19" s="40"/>
      <c r="AQ19" s="27">
        <f>897106+86184+2233161</f>
        <v>3216451</v>
      </c>
      <c r="AR19" s="27">
        <f>910500+348000+2233161</f>
        <v>3491661</v>
      </c>
      <c r="AS19" s="27">
        <v>16297</v>
      </c>
      <c r="AT19" s="27">
        <v>0</v>
      </c>
      <c r="AU19" s="27">
        <v>64517</v>
      </c>
      <c r="AV19" s="27">
        <v>3250167</v>
      </c>
      <c r="AW19" s="27">
        <v>21286883</v>
      </c>
      <c r="AX19" s="27">
        <f t="shared" si="5"/>
        <v>24617864</v>
      </c>
      <c r="AY19" s="27">
        <v>150406</v>
      </c>
      <c r="AZ19" s="27">
        <v>19311840</v>
      </c>
      <c r="BA19" s="27">
        <v>3727536</v>
      </c>
      <c r="BB19" s="27">
        <v>3250167</v>
      </c>
      <c r="BC19" s="27">
        <v>21274161</v>
      </c>
      <c r="BD19" s="27">
        <f t="shared" si="6"/>
        <v>47714110</v>
      </c>
      <c r="BE19" s="29">
        <f t="shared" si="7"/>
        <v>2.5557692807521834E-2</v>
      </c>
      <c r="BF19" s="29">
        <f t="shared" si="8"/>
        <v>0.23363457979433705</v>
      </c>
      <c r="BG19" s="29">
        <f t="shared" si="9"/>
        <v>0.37965667720569723</v>
      </c>
      <c r="BH19" s="42">
        <f>VLOOKUP(B19,Unemployment!$A$2:$F$193,6,0)</f>
        <v>-0.59999999999999964</v>
      </c>
      <c r="BI19" s="29">
        <f>VLOOKUP(B19,Zillow!$C$11:$R$193,16,0)</f>
        <v>-2.0585758398053711E-3</v>
      </c>
      <c r="BJ19" s="5"/>
      <c r="BK19" s="6">
        <v>10</v>
      </c>
      <c r="BL19" s="6">
        <v>40</v>
      </c>
      <c r="BM19" s="6">
        <v>30</v>
      </c>
      <c r="BN19" s="6">
        <v>10</v>
      </c>
      <c r="BO19" s="6">
        <v>10</v>
      </c>
      <c r="BP19" s="5"/>
      <c r="BQ19" s="43">
        <v>0.2</v>
      </c>
      <c r="BR19" s="43">
        <v>0.02</v>
      </c>
      <c r="BS19" s="43">
        <v>2.2000000000000002</v>
      </c>
      <c r="BT19" s="44">
        <v>0.02</v>
      </c>
      <c r="BU19" s="43">
        <v>-7.0000000000000007E-2</v>
      </c>
      <c r="BV19" s="5"/>
      <c r="BW19" s="43">
        <v>0.05</v>
      </c>
      <c r="BX19" s="43">
        <v>0.32</v>
      </c>
      <c r="BY19" s="43">
        <v>0.4</v>
      </c>
      <c r="BZ19" s="44">
        <v>0</v>
      </c>
      <c r="CA19" s="43">
        <v>0.03</v>
      </c>
      <c r="CB19" s="5"/>
      <c r="CC19" s="45">
        <f t="shared" si="10"/>
        <v>-1.5000000000000003E-2</v>
      </c>
      <c r="CD19" s="45">
        <f t="shared" si="11"/>
        <v>7.4999999999999997E-3</v>
      </c>
      <c r="CE19" s="45">
        <f t="shared" si="12"/>
        <v>-6.0000000000000012E-2</v>
      </c>
      <c r="CF19" s="46">
        <f t="shared" si="13"/>
        <v>-2E-3</v>
      </c>
      <c r="CG19" s="45">
        <f t="shared" si="14"/>
        <v>0.01</v>
      </c>
      <c r="CH19" s="5"/>
      <c r="CI19" s="44">
        <f t="shared" si="15"/>
        <v>10</v>
      </c>
      <c r="CJ19" s="44">
        <f t="shared" si="16"/>
        <v>28.484610639244941</v>
      </c>
      <c r="CK19" s="44">
        <f t="shared" si="17"/>
        <v>30</v>
      </c>
      <c r="CL19" s="44">
        <f t="shared" si="18"/>
        <v>10</v>
      </c>
      <c r="CM19" s="44">
        <f t="shared" si="19"/>
        <v>6.7941424160194632</v>
      </c>
      <c r="CN19" s="47">
        <f t="shared" si="20"/>
        <v>0</v>
      </c>
      <c r="CO19" s="5"/>
      <c r="CP19" s="47">
        <f t="shared" si="21"/>
        <v>3.3057692807521834E-2</v>
      </c>
      <c r="CQ19" s="47">
        <f t="shared" si="22"/>
        <v>0.13763457979433708</v>
      </c>
      <c r="CR19" s="47">
        <f t="shared" si="23"/>
        <v>1.0996566772056975</v>
      </c>
      <c r="CS19" s="47">
        <f t="shared" si="24"/>
        <v>0.59999999999999964</v>
      </c>
      <c r="CT19" s="47">
        <f t="shared" si="25"/>
        <v>5.0585758398053703E-3</v>
      </c>
      <c r="CU19" s="47">
        <f t="shared" si="26"/>
        <v>1.8754075256473615</v>
      </c>
    </row>
    <row r="20" spans="1:99" ht="15" customHeight="1">
      <c r="A20" s="5"/>
      <c r="B20" s="37" t="s">
        <v>4</v>
      </c>
      <c r="C20" s="37" t="s">
        <v>252</v>
      </c>
      <c r="D20" s="37" t="s">
        <v>258</v>
      </c>
      <c r="E20" s="26">
        <v>42551</v>
      </c>
      <c r="F20" s="38">
        <f t="shared" si="2"/>
        <v>46.289587339651604</v>
      </c>
      <c r="G20" s="4">
        <f>1510313859-884638177-391165290</f>
        <v>234510392</v>
      </c>
      <c r="H20" s="4">
        <f>1712445968-1540725149</f>
        <v>171720819</v>
      </c>
      <c r="I20" s="4">
        <v>1510313859</v>
      </c>
      <c r="J20" s="4">
        <v>-142159095</v>
      </c>
      <c r="K20" s="4">
        <v>-1050201963</v>
      </c>
      <c r="L20" s="4">
        <v>327759618</v>
      </c>
      <c r="M20" s="4">
        <v>79971219</v>
      </c>
      <c r="N20" s="4">
        <v>60397791</v>
      </c>
      <c r="O20" s="4">
        <v>353449964</v>
      </c>
      <c r="P20" s="4">
        <f t="shared" si="3"/>
        <v>821578592</v>
      </c>
      <c r="Q20" s="4">
        <v>766030765</v>
      </c>
      <c r="R20" s="4">
        <v>55547827</v>
      </c>
      <c r="S20" s="27">
        <v>567250296</v>
      </c>
      <c r="T20" s="27">
        <v>569926736</v>
      </c>
      <c r="U20" s="27">
        <v>781767838</v>
      </c>
      <c r="V20" s="27">
        <v>805563731</v>
      </c>
      <c r="W20" s="27">
        <v>905681</v>
      </c>
      <c r="X20" s="27">
        <f>71894033+4169087</f>
        <v>76063120</v>
      </c>
      <c r="Y20" s="27">
        <v>364747226</v>
      </c>
      <c r="Z20" s="27">
        <v>251076329</v>
      </c>
      <c r="AA20" s="27">
        <f>1576060598+40727671-364747226-251076329-76060120</f>
        <v>924904594</v>
      </c>
      <c r="AB20" s="27">
        <f>SUM(X20:AA20)</f>
        <v>1616791269</v>
      </c>
      <c r="AC20" s="27">
        <v>251076329</v>
      </c>
      <c r="AD20" s="27">
        <v>0</v>
      </c>
      <c r="AE20" s="27">
        <f>AC20+AD20</f>
        <v>251076329</v>
      </c>
      <c r="AF20" s="27">
        <v>0</v>
      </c>
      <c r="AG20" s="27">
        <v>71905518</v>
      </c>
      <c r="AH20" s="27">
        <v>74029721</v>
      </c>
      <c r="AI20" s="27">
        <v>31891398</v>
      </c>
      <c r="AJ20" s="50" t="s">
        <v>259</v>
      </c>
      <c r="AK20" s="39">
        <v>0</v>
      </c>
      <c r="AL20" s="53">
        <v>1003337378</v>
      </c>
      <c r="AM20" s="39">
        <f>AL20-AK20</f>
        <v>1003337378</v>
      </c>
      <c r="AN20" s="40">
        <f>AK20/AL20</f>
        <v>0</v>
      </c>
      <c r="AO20" s="49"/>
      <c r="AP20" s="40"/>
      <c r="AQ20" s="27">
        <f>(15488+2002+310+818)*1000</f>
        <v>18618000</v>
      </c>
      <c r="AR20" s="27">
        <v>15488000</v>
      </c>
      <c r="AS20" s="27">
        <f>(15488+2002+310+796)*1000</f>
        <v>18596000</v>
      </c>
      <c r="AT20" s="27">
        <v>0</v>
      </c>
      <c r="AU20" s="27">
        <v>0</v>
      </c>
      <c r="AV20" s="27">
        <v>0</v>
      </c>
      <c r="AW20" s="27">
        <v>14269142</v>
      </c>
      <c r="AX20" s="27">
        <f t="shared" si="5"/>
        <v>32865142</v>
      </c>
      <c r="AY20" s="27">
        <v>350000</v>
      </c>
      <c r="AZ20" s="27">
        <v>5902507</v>
      </c>
      <c r="BA20" s="27">
        <v>73656280</v>
      </c>
      <c r="BB20" s="27">
        <v>0</v>
      </c>
      <c r="BC20" s="27">
        <v>13064144</v>
      </c>
      <c r="BD20" s="27">
        <f t="shared" si="6"/>
        <v>92972931</v>
      </c>
      <c r="BE20" s="29">
        <f t="shared" si="7"/>
        <v>2.2661252595053014E-2</v>
      </c>
      <c r="BF20" s="29">
        <f t="shared" si="8"/>
        <v>5.7665555805755359E-2</v>
      </c>
      <c r="BG20" s="29">
        <f t="shared" si="9"/>
        <v>1.5239492060669468</v>
      </c>
      <c r="BH20" s="42">
        <f>VLOOKUP(B20,Unemployment!$A$2:$F$193,6,0)</f>
        <v>-1.1000000000000005</v>
      </c>
      <c r="BI20" s="29">
        <f>VLOOKUP(B20,Zillow!$C$11:$R$193,16,0)</f>
        <v>5.2212036667995357E-2</v>
      </c>
      <c r="BJ20" s="5"/>
      <c r="BK20" s="6">
        <v>10</v>
      </c>
      <c r="BL20" s="6">
        <v>40</v>
      </c>
      <c r="BM20" s="6">
        <v>30</v>
      </c>
      <c r="BN20" s="6">
        <v>10</v>
      </c>
      <c r="BO20" s="6">
        <v>10</v>
      </c>
      <c r="BP20" s="5"/>
      <c r="BQ20" s="43">
        <v>0.2</v>
      </c>
      <c r="BR20" s="43">
        <v>0.02</v>
      </c>
      <c r="BS20" s="43">
        <v>2.2000000000000002</v>
      </c>
      <c r="BT20" s="44">
        <v>0.02</v>
      </c>
      <c r="BU20" s="43">
        <v>-7.0000000000000007E-2</v>
      </c>
      <c r="BV20" s="5"/>
      <c r="BW20" s="43">
        <v>0.05</v>
      </c>
      <c r="BX20" s="43">
        <v>0.32</v>
      </c>
      <c r="BY20" s="43">
        <v>0.4</v>
      </c>
      <c r="BZ20" s="44">
        <v>0</v>
      </c>
      <c r="CA20" s="43">
        <v>0.03</v>
      </c>
      <c r="CB20" s="5"/>
      <c r="CC20" s="45">
        <f t="shared" si="10"/>
        <v>-1.5000000000000003E-2</v>
      </c>
      <c r="CD20" s="45">
        <f t="shared" si="11"/>
        <v>7.4999999999999997E-3</v>
      </c>
      <c r="CE20" s="45">
        <f t="shared" si="12"/>
        <v>-6.0000000000000012E-2</v>
      </c>
      <c r="CF20" s="46">
        <f t="shared" si="13"/>
        <v>-2E-3</v>
      </c>
      <c r="CG20" s="45">
        <f t="shared" si="14"/>
        <v>0.01</v>
      </c>
      <c r="CH20" s="5"/>
      <c r="CI20" s="44">
        <f t="shared" si="15"/>
        <v>10</v>
      </c>
      <c r="CJ20" s="44">
        <f t="shared" si="16"/>
        <v>5.0220741074340474</v>
      </c>
      <c r="CK20" s="44">
        <f t="shared" si="17"/>
        <v>11.267513232217553</v>
      </c>
      <c r="CL20" s="44">
        <f t="shared" si="18"/>
        <v>10</v>
      </c>
      <c r="CM20" s="44">
        <f t="shared" si="19"/>
        <v>10</v>
      </c>
      <c r="CN20" s="47">
        <f t="shared" si="20"/>
        <v>0</v>
      </c>
      <c r="CO20" s="5"/>
      <c r="CP20" s="47">
        <f t="shared" si="21"/>
        <v>3.0161252595053017E-2</v>
      </c>
      <c r="CQ20" s="47">
        <f t="shared" si="22"/>
        <v>3.833444419424463E-2</v>
      </c>
      <c r="CR20" s="47">
        <f t="shared" si="23"/>
        <v>2.2439492060669473</v>
      </c>
      <c r="CS20" s="47">
        <f t="shared" si="24"/>
        <v>1.1000000000000005</v>
      </c>
      <c r="CT20" s="47">
        <f t="shared" si="25"/>
        <v>4.9212036667995354E-2</v>
      </c>
      <c r="CU20" s="47">
        <f t="shared" si="26"/>
        <v>3.4616569395242411</v>
      </c>
    </row>
    <row r="21" spans="1:99" ht="15" customHeight="1">
      <c r="A21" s="5"/>
      <c r="B21" s="37" t="s">
        <v>166</v>
      </c>
      <c r="C21" s="37" t="s">
        <v>252</v>
      </c>
      <c r="D21" s="37" t="s">
        <v>258</v>
      </c>
      <c r="E21" s="50" t="s">
        <v>263</v>
      </c>
      <c r="F21" s="38">
        <f t="shared" si="2"/>
        <v>99.410692974779224</v>
      </c>
      <c r="G21" s="4">
        <v>5165481</v>
      </c>
      <c r="H21" s="4">
        <v>27030</v>
      </c>
      <c r="I21" s="4">
        <v>9456874</v>
      </c>
      <c r="J21" s="4">
        <v>9171705</v>
      </c>
      <c r="K21" s="4">
        <v>3591443</v>
      </c>
      <c r="L21" s="4">
        <f>6756030+30502+45548</f>
        <v>6832080</v>
      </c>
      <c r="M21" s="4">
        <v>232778</v>
      </c>
      <c r="N21" s="4">
        <v>282758</v>
      </c>
      <c r="O21" s="4">
        <v>140604</v>
      </c>
      <c r="P21" s="4">
        <f t="shared" si="3"/>
        <v>7488220</v>
      </c>
      <c r="Q21" s="4">
        <v>7087724</v>
      </c>
      <c r="R21" s="4">
        <v>400496</v>
      </c>
      <c r="S21" s="27">
        <v>7276705</v>
      </c>
      <c r="T21" s="27">
        <v>6962877</v>
      </c>
      <c r="U21" s="27">
        <v>7502809</v>
      </c>
      <c r="V21" s="27">
        <v>7589724</v>
      </c>
      <c r="W21" s="27">
        <v>199237</v>
      </c>
      <c r="X21" s="27">
        <v>0</v>
      </c>
      <c r="Y21" s="27">
        <v>0</v>
      </c>
      <c r="Z21" s="27">
        <v>0</v>
      </c>
      <c r="AA21" s="27">
        <v>27030</v>
      </c>
      <c r="AB21" s="27">
        <f>X21+Y21+Z21+AA21</f>
        <v>27030</v>
      </c>
      <c r="AC21" s="27"/>
      <c r="AD21" s="27"/>
      <c r="AE21" s="27"/>
      <c r="AF21" s="27"/>
      <c r="AG21" s="27"/>
      <c r="AH21" s="27"/>
      <c r="AI21" s="27"/>
      <c r="AJ21" s="26"/>
      <c r="AK21" s="49"/>
      <c r="AL21" s="49"/>
      <c r="AM21" s="49"/>
      <c r="AN21" s="49"/>
      <c r="AO21" s="49"/>
      <c r="AP21" s="49"/>
      <c r="AQ21" s="27"/>
      <c r="AR21" s="27"/>
      <c r="AS21" s="27">
        <v>0</v>
      </c>
      <c r="AT21" s="27">
        <v>0</v>
      </c>
      <c r="AU21" s="27">
        <v>0</v>
      </c>
      <c r="AV21" s="27">
        <v>1821851</v>
      </c>
      <c r="AW21" s="27">
        <v>1505798</v>
      </c>
      <c r="AX21" s="27">
        <f t="shared" si="5"/>
        <v>3327649</v>
      </c>
      <c r="AY21" s="27">
        <v>408537</v>
      </c>
      <c r="AZ21" s="27">
        <f>155786+11573+11750+497808+203415</f>
        <v>880332</v>
      </c>
      <c r="BA21" s="27">
        <f>67830+198131</f>
        <v>265961</v>
      </c>
      <c r="BB21" s="27">
        <v>1821851</v>
      </c>
      <c r="BC21" s="27">
        <v>1505798</v>
      </c>
      <c r="BD21" s="27">
        <f t="shared" si="6"/>
        <v>4882479</v>
      </c>
      <c r="BE21" s="29">
        <f t="shared" si="7"/>
        <v>0</v>
      </c>
      <c r="BF21" s="29">
        <f t="shared" si="8"/>
        <v>0.47791293742514768</v>
      </c>
      <c r="BG21" s="29">
        <f t="shared" si="9"/>
        <v>3.6096695876990793E-3</v>
      </c>
      <c r="BH21" s="42">
        <f>VLOOKUP(B21,Unemployment!$A$2:$F$193,6,0)</f>
        <v>-1.1000000000000001</v>
      </c>
      <c r="BI21" s="29">
        <f>VLOOKUP(B21,Zillow!$C$11:$R$193,16,0)</f>
        <v>2.4106929747792185E-2</v>
      </c>
      <c r="BJ21" s="5"/>
      <c r="BK21" s="6">
        <v>10</v>
      </c>
      <c r="BL21" s="6">
        <v>40</v>
      </c>
      <c r="BM21" s="6">
        <v>30</v>
      </c>
      <c r="BN21" s="6">
        <v>10</v>
      </c>
      <c r="BO21" s="6">
        <v>10</v>
      </c>
      <c r="BP21" s="5"/>
      <c r="BQ21" s="43">
        <v>0.2</v>
      </c>
      <c r="BR21" s="43">
        <v>0.02</v>
      </c>
      <c r="BS21" s="43">
        <v>2.2000000000000002</v>
      </c>
      <c r="BT21" s="44">
        <v>0.02</v>
      </c>
      <c r="BU21" s="43">
        <v>-7.0000000000000007E-2</v>
      </c>
      <c r="BV21" s="5"/>
      <c r="BW21" s="43">
        <v>0.05</v>
      </c>
      <c r="BX21" s="43">
        <v>0.32</v>
      </c>
      <c r="BY21" s="43">
        <v>0.4</v>
      </c>
      <c r="BZ21" s="44">
        <v>0</v>
      </c>
      <c r="CA21" s="43">
        <v>0.03</v>
      </c>
      <c r="CB21" s="5"/>
      <c r="CC21" s="45">
        <f t="shared" si="10"/>
        <v>-1.5000000000000003E-2</v>
      </c>
      <c r="CD21" s="45">
        <f t="shared" si="11"/>
        <v>7.4999999999999997E-3</v>
      </c>
      <c r="CE21" s="45">
        <f t="shared" si="12"/>
        <v>-6.0000000000000012E-2</v>
      </c>
      <c r="CF21" s="46">
        <f t="shared" si="13"/>
        <v>-2E-3</v>
      </c>
      <c r="CG21" s="45">
        <f t="shared" si="14"/>
        <v>0.01</v>
      </c>
      <c r="CH21" s="5"/>
      <c r="CI21" s="44">
        <f t="shared" si="15"/>
        <v>10</v>
      </c>
      <c r="CJ21" s="44">
        <f t="shared" si="16"/>
        <v>40</v>
      </c>
      <c r="CK21" s="44">
        <f t="shared" si="17"/>
        <v>30</v>
      </c>
      <c r="CL21" s="44">
        <f t="shared" si="18"/>
        <v>10</v>
      </c>
      <c r="CM21" s="44">
        <f t="shared" si="19"/>
        <v>9.4106929747792201</v>
      </c>
      <c r="CN21" s="47">
        <f t="shared" si="20"/>
        <v>0</v>
      </c>
      <c r="CO21" s="5"/>
      <c r="CP21" s="47">
        <f t="shared" si="21"/>
        <v>7.5000000000000023E-3</v>
      </c>
      <c r="CQ21" s="47">
        <f t="shared" si="22"/>
        <v>0.3819129374251477</v>
      </c>
      <c r="CR21" s="47">
        <f t="shared" si="23"/>
        <v>0.72360966958769923</v>
      </c>
      <c r="CS21" s="47">
        <f t="shared" si="24"/>
        <v>1.1000000000000001</v>
      </c>
      <c r="CT21" s="47">
        <f t="shared" si="25"/>
        <v>2.1106929747792186E-2</v>
      </c>
      <c r="CU21" s="47">
        <f t="shared" si="26"/>
        <v>2.2341295367606393</v>
      </c>
    </row>
    <row r="22" spans="1:99" ht="15" customHeight="1">
      <c r="A22" s="5"/>
      <c r="B22" s="37" t="s">
        <v>130</v>
      </c>
      <c r="C22" s="37" t="s">
        <v>252</v>
      </c>
      <c r="D22" s="37" t="s">
        <v>258</v>
      </c>
      <c r="E22" s="26">
        <v>42551</v>
      </c>
      <c r="F22" s="38">
        <f t="shared" si="2"/>
        <v>78.974606072376872</v>
      </c>
      <c r="G22" s="4">
        <f>650729831-317338785-41138000</f>
        <v>292253046</v>
      </c>
      <c r="H22" s="4">
        <f>162468599-114312922-15116540</f>
        <v>33039137</v>
      </c>
      <c r="I22" s="4">
        <v>650729831</v>
      </c>
      <c r="J22" s="4">
        <v>557129066</v>
      </c>
      <c r="K22" s="4">
        <v>88737383</v>
      </c>
      <c r="L22" s="4">
        <v>139196262</v>
      </c>
      <c r="M22" s="4">
        <v>7648148</v>
      </c>
      <c r="N22" s="4">
        <v>22003251</v>
      </c>
      <c r="O22" s="4">
        <v>79078101</v>
      </c>
      <c r="P22" s="4">
        <f t="shared" si="3"/>
        <v>247925762</v>
      </c>
      <c r="Q22" s="4">
        <v>255458578</v>
      </c>
      <c r="R22" s="4">
        <v>-7532816</v>
      </c>
      <c r="S22" s="27">
        <v>207319190</v>
      </c>
      <c r="T22" s="27">
        <v>189160154</v>
      </c>
      <c r="U22" s="27">
        <v>240069950</v>
      </c>
      <c r="V22" s="27">
        <v>244353459</v>
      </c>
      <c r="W22" s="27">
        <v>4439849</v>
      </c>
      <c r="X22" s="27">
        <f>14525622+590918</f>
        <v>15116540</v>
      </c>
      <c r="Y22" s="27">
        <f>9428337</f>
        <v>9428337</v>
      </c>
      <c r="Z22" s="27">
        <v>31228822</v>
      </c>
      <c r="AA22" s="27">
        <f>3720228+125709234-31228822-9428337-15116540</f>
        <v>73655763</v>
      </c>
      <c r="AB22" s="27">
        <f>SUM(X22:AA22)</f>
        <v>129429462</v>
      </c>
      <c r="AC22" s="27">
        <v>31228822</v>
      </c>
      <c r="AD22" s="27">
        <v>0</v>
      </c>
      <c r="AE22" s="27">
        <f t="shared" ref="AE22:AE33" si="29">AC22+AD22</f>
        <v>31228822</v>
      </c>
      <c r="AF22" s="27"/>
      <c r="AG22" s="27">
        <v>7308579</v>
      </c>
      <c r="AH22" s="27">
        <v>6882510</v>
      </c>
      <c r="AI22" s="27">
        <v>3961206</v>
      </c>
      <c r="AJ22" s="50" t="s">
        <v>259</v>
      </c>
      <c r="AK22" s="39">
        <v>4439558</v>
      </c>
      <c r="AL22" s="39">
        <v>60732614</v>
      </c>
      <c r="AM22" s="39">
        <f>AL22-AK22</f>
        <v>56293056</v>
      </c>
      <c r="AN22" s="40">
        <f>AK22/AL22</f>
        <v>7.3100064489238017E-2</v>
      </c>
      <c r="AO22" s="40">
        <v>0.05</v>
      </c>
      <c r="AP22" s="50" t="s">
        <v>265</v>
      </c>
      <c r="AQ22" s="27">
        <v>352543</v>
      </c>
      <c r="AR22" s="27">
        <v>44000</v>
      </c>
      <c r="AS22" s="27">
        <v>8817</v>
      </c>
      <c r="AT22" s="27">
        <v>0</v>
      </c>
      <c r="AU22" s="27">
        <v>3064919</v>
      </c>
      <c r="AV22" s="27">
        <v>4345929</v>
      </c>
      <c r="AW22" s="27">
        <v>28737167</v>
      </c>
      <c r="AX22" s="27">
        <f t="shared" si="5"/>
        <v>36156832</v>
      </c>
      <c r="AY22" s="27">
        <v>932380</v>
      </c>
      <c r="AZ22" s="27">
        <v>5549614</v>
      </c>
      <c r="BA22" s="27">
        <v>19537432</v>
      </c>
      <c r="BB22" s="27">
        <v>4498627</v>
      </c>
      <c r="BC22" s="27">
        <v>13020302</v>
      </c>
      <c r="BD22" s="27">
        <f t="shared" si="6"/>
        <v>43538355</v>
      </c>
      <c r="BE22" s="29">
        <f t="shared" si="7"/>
        <v>1.4219700169762915E-3</v>
      </c>
      <c r="BF22" s="29">
        <f t="shared" si="8"/>
        <v>0.19114401862878586</v>
      </c>
      <c r="BG22" s="29">
        <f t="shared" si="9"/>
        <v>0.48402039397583863</v>
      </c>
      <c r="BH22" s="42">
        <f>VLOOKUP(B22,Unemployment!$A$2:$F$193,6,0)</f>
        <v>-0.89999999999999947</v>
      </c>
      <c r="BI22" s="29">
        <f>VLOOKUP(B22,Zillow!$C$11:$R$193,16,0)</f>
        <v>5.5574348813607335E-3</v>
      </c>
      <c r="BJ22" s="5"/>
      <c r="BK22" s="6">
        <v>10</v>
      </c>
      <c r="BL22" s="6">
        <v>40</v>
      </c>
      <c r="BM22" s="6">
        <v>30</v>
      </c>
      <c r="BN22" s="6">
        <v>10</v>
      </c>
      <c r="BO22" s="6">
        <v>10</v>
      </c>
      <c r="BP22" s="5"/>
      <c r="BQ22" s="43">
        <v>0.2</v>
      </c>
      <c r="BR22" s="43">
        <v>0.02</v>
      </c>
      <c r="BS22" s="43">
        <v>2.2000000000000002</v>
      </c>
      <c r="BT22" s="44">
        <v>0.02</v>
      </c>
      <c r="BU22" s="43">
        <v>-7.0000000000000007E-2</v>
      </c>
      <c r="BV22" s="5"/>
      <c r="BW22" s="43">
        <v>0.05</v>
      </c>
      <c r="BX22" s="43">
        <v>0.32</v>
      </c>
      <c r="BY22" s="43">
        <v>0.4</v>
      </c>
      <c r="BZ22" s="44">
        <v>0</v>
      </c>
      <c r="CA22" s="43">
        <v>0.03</v>
      </c>
      <c r="CB22" s="5"/>
      <c r="CC22" s="45">
        <f t="shared" si="10"/>
        <v>-1.5000000000000003E-2</v>
      </c>
      <c r="CD22" s="45">
        <f t="shared" si="11"/>
        <v>7.4999999999999997E-3</v>
      </c>
      <c r="CE22" s="45">
        <f t="shared" si="12"/>
        <v>-6.0000000000000012E-2</v>
      </c>
      <c r="CF22" s="46">
        <f t="shared" si="13"/>
        <v>-2E-3</v>
      </c>
      <c r="CG22" s="45">
        <f t="shared" si="14"/>
        <v>0.01</v>
      </c>
      <c r="CH22" s="5"/>
      <c r="CI22" s="44">
        <f t="shared" si="15"/>
        <v>10</v>
      </c>
      <c r="CJ22" s="44">
        <f t="shared" si="16"/>
        <v>22.819202483838115</v>
      </c>
      <c r="CK22" s="44">
        <f t="shared" si="17"/>
        <v>28.599660100402684</v>
      </c>
      <c r="CL22" s="44">
        <f t="shared" si="18"/>
        <v>10</v>
      </c>
      <c r="CM22" s="44">
        <f t="shared" si="19"/>
        <v>7.5557434881360743</v>
      </c>
      <c r="CN22" s="47">
        <f t="shared" si="20"/>
        <v>0</v>
      </c>
      <c r="CO22" s="5"/>
      <c r="CP22" s="47">
        <f t="shared" si="21"/>
        <v>8.9219700169762932E-3</v>
      </c>
      <c r="CQ22" s="47">
        <f t="shared" si="22"/>
        <v>9.5144018628785867E-2</v>
      </c>
      <c r="CR22" s="47">
        <f t="shared" si="23"/>
        <v>1.2040203939758389</v>
      </c>
      <c r="CS22" s="47">
        <f t="shared" si="24"/>
        <v>0.89999999999999947</v>
      </c>
      <c r="CT22" s="47">
        <f t="shared" si="25"/>
        <v>2.5574348813607339E-3</v>
      </c>
      <c r="CU22" s="47">
        <f t="shared" si="26"/>
        <v>2.2106438175029615</v>
      </c>
    </row>
    <row r="23" spans="1:99" ht="15" customHeight="1">
      <c r="A23" s="5"/>
      <c r="B23" s="37" t="s">
        <v>16</v>
      </c>
      <c r="C23" s="37" t="s">
        <v>252</v>
      </c>
      <c r="D23" s="37" t="s">
        <v>255</v>
      </c>
      <c r="E23" s="26">
        <v>42551</v>
      </c>
      <c r="F23" s="38">
        <f t="shared" si="2"/>
        <v>58.764955624593426</v>
      </c>
      <c r="G23" s="4">
        <f>133123101-27691402-78412653</f>
        <v>27019046</v>
      </c>
      <c r="H23" s="4">
        <f>90128589-61491362-3931748</f>
        <v>24705479</v>
      </c>
      <c r="I23" s="4">
        <v>133123101</v>
      </c>
      <c r="J23" s="4">
        <v>47137124</v>
      </c>
      <c r="K23" s="4">
        <v>-1577194</v>
      </c>
      <c r="L23" s="4">
        <v>57967948</v>
      </c>
      <c r="M23" s="4">
        <v>3853223</v>
      </c>
      <c r="N23" s="4">
        <v>4234223</v>
      </c>
      <c r="O23" s="4">
        <v>7567548</v>
      </c>
      <c r="P23" s="4">
        <f t="shared" si="3"/>
        <v>73622942</v>
      </c>
      <c r="Q23" s="4">
        <v>70563791</v>
      </c>
      <c r="R23" s="4">
        <v>3059151</v>
      </c>
      <c r="S23" s="27">
        <v>65408925</v>
      </c>
      <c r="T23" s="27">
        <v>64333468</v>
      </c>
      <c r="U23" s="27">
        <v>70077963</v>
      </c>
      <c r="V23" s="27">
        <v>75475065</v>
      </c>
      <c r="W23" s="27">
        <v>202756</v>
      </c>
      <c r="X23" s="27">
        <f>3575489+356259</f>
        <v>3931748</v>
      </c>
      <c r="Y23" s="27">
        <v>5034503</v>
      </c>
      <c r="Z23" s="27">
        <v>20977659</v>
      </c>
      <c r="AA23" s="27">
        <f>61634001+3789109-3931748-5034503-20977659</f>
        <v>35479200</v>
      </c>
      <c r="AB23" s="27">
        <f>SUM(X23:AA23)</f>
        <v>65423110</v>
      </c>
      <c r="AC23" s="27">
        <v>20977659</v>
      </c>
      <c r="AD23" s="27">
        <v>0</v>
      </c>
      <c r="AE23" s="27">
        <f t="shared" si="29"/>
        <v>20977659</v>
      </c>
      <c r="AF23" s="27">
        <v>0</v>
      </c>
      <c r="AG23" s="27">
        <v>2632868</v>
      </c>
      <c r="AH23" s="27">
        <v>2336781</v>
      </c>
      <c r="AI23" s="27">
        <v>317968</v>
      </c>
      <c r="AJ23" s="50" t="s">
        <v>259</v>
      </c>
      <c r="AK23" s="39">
        <v>0</v>
      </c>
      <c r="AL23" s="39">
        <v>26493390</v>
      </c>
      <c r="AM23" s="39">
        <v>26493390</v>
      </c>
      <c r="AN23" s="40">
        <f>AK23/AL23</f>
        <v>0</v>
      </c>
      <c r="AO23" s="49"/>
      <c r="AP23" s="40">
        <v>0.04</v>
      </c>
      <c r="AQ23" s="27">
        <v>1224455</v>
      </c>
      <c r="AR23" s="27">
        <v>916398</v>
      </c>
      <c r="AS23" s="27">
        <v>0</v>
      </c>
      <c r="AT23" s="27">
        <v>0</v>
      </c>
      <c r="AU23" s="27">
        <v>390319</v>
      </c>
      <c r="AV23" s="27">
        <v>0</v>
      </c>
      <c r="AW23" s="27">
        <v>4946691</v>
      </c>
      <c r="AX23" s="27">
        <f t="shared" si="5"/>
        <v>5337010</v>
      </c>
      <c r="AY23" s="27">
        <v>8607</v>
      </c>
      <c r="AZ23" s="27">
        <v>254591</v>
      </c>
      <c r="BA23" s="27">
        <v>1486998</v>
      </c>
      <c r="BB23" s="27">
        <v>0</v>
      </c>
      <c r="BC23" s="27">
        <v>-8791143</v>
      </c>
      <c r="BD23" s="27">
        <f t="shared" si="6"/>
        <v>-7040947</v>
      </c>
      <c r="BE23" s="29">
        <f t="shared" si="7"/>
        <v>1.6631432631420789E-2</v>
      </c>
      <c r="BF23" s="29">
        <f t="shared" si="8"/>
        <v>8.2958531009085346E-2</v>
      </c>
      <c r="BG23" s="29">
        <f t="shared" si="9"/>
        <v>0.82024169857270846</v>
      </c>
      <c r="BH23" s="42">
        <f>VLOOKUP(B23,Unemployment!$A$2:$F$193,6,0)</f>
        <v>-0.30000000000000071</v>
      </c>
      <c r="BI23" s="29">
        <f>VLOOKUP(B23,Zillow!$C$11:$R$193,16,0)</f>
        <v>3.7451313292719461E-3</v>
      </c>
      <c r="BJ23" s="5"/>
      <c r="BK23" s="6">
        <v>10</v>
      </c>
      <c r="BL23" s="6">
        <v>40</v>
      </c>
      <c r="BM23" s="6">
        <v>30</v>
      </c>
      <c r="BN23" s="6">
        <v>10</v>
      </c>
      <c r="BO23" s="6">
        <v>10</v>
      </c>
      <c r="BP23" s="5"/>
      <c r="BQ23" s="43">
        <v>0.2</v>
      </c>
      <c r="BR23" s="43">
        <v>0.02</v>
      </c>
      <c r="BS23" s="43">
        <v>2.2000000000000002</v>
      </c>
      <c r="BT23" s="44">
        <v>0.02</v>
      </c>
      <c r="BU23" s="43">
        <v>-7.0000000000000007E-2</v>
      </c>
      <c r="BV23" s="5"/>
      <c r="BW23" s="43">
        <v>0.05</v>
      </c>
      <c r="BX23" s="43">
        <v>0.32</v>
      </c>
      <c r="BY23" s="43">
        <v>0.4</v>
      </c>
      <c r="BZ23" s="44">
        <v>0</v>
      </c>
      <c r="CA23" s="43">
        <v>0.03</v>
      </c>
      <c r="CB23" s="5"/>
      <c r="CC23" s="45">
        <f t="shared" si="10"/>
        <v>-1.5000000000000003E-2</v>
      </c>
      <c r="CD23" s="45">
        <f t="shared" si="11"/>
        <v>7.4999999999999997E-3</v>
      </c>
      <c r="CE23" s="45">
        <f t="shared" si="12"/>
        <v>-6.0000000000000012E-2</v>
      </c>
      <c r="CF23" s="46">
        <f t="shared" si="13"/>
        <v>-2E-3</v>
      </c>
      <c r="CG23" s="45">
        <f t="shared" si="14"/>
        <v>0.01</v>
      </c>
      <c r="CH23" s="5"/>
      <c r="CI23" s="44">
        <f t="shared" si="15"/>
        <v>10</v>
      </c>
      <c r="CJ23" s="44">
        <f t="shared" si="16"/>
        <v>8.39447080121138</v>
      </c>
      <c r="CK23" s="44">
        <f t="shared" si="17"/>
        <v>22.995971690454859</v>
      </c>
      <c r="CL23" s="44">
        <f t="shared" si="18"/>
        <v>10</v>
      </c>
      <c r="CM23" s="44">
        <f t="shared" si="19"/>
        <v>7.3745131329271949</v>
      </c>
      <c r="CN23" s="47">
        <f t="shared" si="20"/>
        <v>0</v>
      </c>
      <c r="CO23" s="5"/>
      <c r="CP23" s="47">
        <f t="shared" si="21"/>
        <v>2.4131432631420792E-2</v>
      </c>
      <c r="CQ23" s="47">
        <f t="shared" si="22"/>
        <v>1.3041468990914643E-2</v>
      </c>
      <c r="CR23" s="47">
        <f t="shared" si="23"/>
        <v>1.5402416985727085</v>
      </c>
      <c r="CS23" s="47">
        <f t="shared" si="24"/>
        <v>0.30000000000000071</v>
      </c>
      <c r="CT23" s="47">
        <f t="shared" si="25"/>
        <v>7.4513132927194652E-4</v>
      </c>
      <c r="CU23" s="47">
        <f t="shared" si="26"/>
        <v>1.8781597315243166</v>
      </c>
    </row>
    <row r="24" spans="1:99" ht="15" customHeight="1">
      <c r="A24" s="5"/>
      <c r="B24" s="37" t="s">
        <v>23</v>
      </c>
      <c r="C24" s="37" t="s">
        <v>252</v>
      </c>
      <c r="D24" s="37" t="s">
        <v>255</v>
      </c>
      <c r="E24" s="26">
        <v>42551</v>
      </c>
      <c r="F24" s="38">
        <f t="shared" si="2"/>
        <v>61.941616042623529</v>
      </c>
      <c r="G24" s="4">
        <f>33654993-26420060-3466309</f>
        <v>3768624</v>
      </c>
      <c r="H24" s="4">
        <f>11100326-4295280-6103261</f>
        <v>701785</v>
      </c>
      <c r="I24" s="4">
        <v>33654993</v>
      </c>
      <c r="J24" s="4">
        <v>22554667</v>
      </c>
      <c r="K24" s="4">
        <v>-2627385</v>
      </c>
      <c r="L24" s="4">
        <f>13121034+538479+21233+47253</f>
        <v>13727999</v>
      </c>
      <c r="M24" s="4">
        <v>519660</v>
      </c>
      <c r="N24" s="4">
        <v>1198624</v>
      </c>
      <c r="O24" s="4">
        <v>8751111</v>
      </c>
      <c r="P24" s="4">
        <f t="shared" si="3"/>
        <v>24197394</v>
      </c>
      <c r="Q24" s="4">
        <v>26199741</v>
      </c>
      <c r="R24" s="4">
        <f>P24-Q24</f>
        <v>-2002347</v>
      </c>
      <c r="S24" s="27">
        <v>22169123</v>
      </c>
      <c r="T24" s="27">
        <v>22322068</v>
      </c>
      <c r="U24" s="27">
        <v>24267280</v>
      </c>
      <c r="V24" s="27">
        <v>30980361</v>
      </c>
      <c r="W24" s="27">
        <v>-1092430</v>
      </c>
      <c r="X24" s="27">
        <v>4295280</v>
      </c>
      <c r="Y24" s="27">
        <v>2477469</v>
      </c>
      <c r="Z24" s="27">
        <v>1886160</v>
      </c>
      <c r="AA24" s="27">
        <f>10398541-4295280-1886160-2477469</f>
        <v>1739632</v>
      </c>
      <c r="AB24" s="27">
        <f>SUM(X24:AA24)</f>
        <v>10398541</v>
      </c>
      <c r="AC24" s="27">
        <v>1886160</v>
      </c>
      <c r="AD24" s="27">
        <v>0</v>
      </c>
      <c r="AE24" s="27">
        <f t="shared" si="29"/>
        <v>1886160</v>
      </c>
      <c r="AF24" s="27">
        <v>0</v>
      </c>
      <c r="AG24" s="27">
        <v>225200</v>
      </c>
      <c r="AH24" s="27">
        <v>198738</v>
      </c>
      <c r="AI24" s="27">
        <v>7000</v>
      </c>
      <c r="AJ24" s="26">
        <v>41456</v>
      </c>
      <c r="AK24" s="51">
        <v>0</v>
      </c>
      <c r="AL24" s="51">
        <v>2374700</v>
      </c>
      <c r="AM24" s="39">
        <f>AL24-AK24</f>
        <v>2374700</v>
      </c>
      <c r="AN24" s="40">
        <f>AK24/AL24</f>
        <v>0</v>
      </c>
      <c r="AO24" s="40">
        <v>0.04</v>
      </c>
      <c r="AP24" s="50" t="s">
        <v>266</v>
      </c>
      <c r="AQ24" s="27">
        <v>295082</v>
      </c>
      <c r="AR24" s="27">
        <v>295082</v>
      </c>
      <c r="AS24" s="27">
        <v>6900</v>
      </c>
      <c r="AT24" s="27">
        <v>32351</v>
      </c>
      <c r="AU24" s="27">
        <v>0</v>
      </c>
      <c r="AV24" s="27">
        <v>128118</v>
      </c>
      <c r="AW24" s="27">
        <v>604129</v>
      </c>
      <c r="AX24" s="27">
        <f t="shared" si="5"/>
        <v>771498</v>
      </c>
      <c r="AY24" s="27">
        <v>8375</v>
      </c>
      <c r="AZ24" s="27">
        <v>588167</v>
      </c>
      <c r="BA24" s="27">
        <v>539182</v>
      </c>
      <c r="BB24" s="27">
        <v>1528645</v>
      </c>
      <c r="BC24" s="27">
        <v>-80692</v>
      </c>
      <c r="BD24" s="27">
        <f t="shared" si="6"/>
        <v>2583677</v>
      </c>
      <c r="BE24" s="29">
        <f t="shared" si="7"/>
        <v>1.2194784281315584E-2</v>
      </c>
      <c r="BF24" s="29">
        <f t="shared" si="8"/>
        <v>3.4562120319676475E-2</v>
      </c>
      <c r="BG24" s="29">
        <f t="shared" si="9"/>
        <v>0.32735227603435313</v>
      </c>
      <c r="BH24" s="42">
        <f>VLOOKUP(B24,Unemployment!$A$2:$F$193,6,0)</f>
        <v>-0.90000000000000036</v>
      </c>
      <c r="BI24" s="29">
        <f>VLOOKUP(B24,Zillow!$C$11:$R$193,16,0)</f>
        <v>4.7258328311956609E-2</v>
      </c>
      <c r="BJ24" s="5"/>
      <c r="BK24" s="6">
        <v>10</v>
      </c>
      <c r="BL24" s="6">
        <v>40</v>
      </c>
      <c r="BM24" s="6">
        <v>30</v>
      </c>
      <c r="BN24" s="6">
        <v>10</v>
      </c>
      <c r="BO24" s="6">
        <v>10</v>
      </c>
      <c r="BP24" s="5"/>
      <c r="BQ24" s="43">
        <v>0.2</v>
      </c>
      <c r="BR24" s="43">
        <v>0.02</v>
      </c>
      <c r="BS24" s="43">
        <v>2.2000000000000002</v>
      </c>
      <c r="BT24" s="44">
        <v>0.02</v>
      </c>
      <c r="BU24" s="43">
        <v>-7.0000000000000007E-2</v>
      </c>
      <c r="BV24" s="5"/>
      <c r="BW24" s="43">
        <v>0.05</v>
      </c>
      <c r="BX24" s="43">
        <v>0.32</v>
      </c>
      <c r="BY24" s="43">
        <v>0.4</v>
      </c>
      <c r="BZ24" s="44">
        <v>0</v>
      </c>
      <c r="CA24" s="43">
        <v>0.03</v>
      </c>
      <c r="CB24" s="5"/>
      <c r="CC24" s="45">
        <f t="shared" si="10"/>
        <v>-1.5000000000000003E-2</v>
      </c>
      <c r="CD24" s="45">
        <f t="shared" si="11"/>
        <v>7.4999999999999997E-3</v>
      </c>
      <c r="CE24" s="45">
        <f t="shared" si="12"/>
        <v>-6.0000000000000012E-2</v>
      </c>
      <c r="CF24" s="46">
        <f t="shared" si="13"/>
        <v>-2E-3</v>
      </c>
      <c r="CG24" s="45">
        <f t="shared" si="14"/>
        <v>0.01</v>
      </c>
      <c r="CH24" s="5"/>
      <c r="CI24" s="44">
        <f t="shared" si="15"/>
        <v>10</v>
      </c>
      <c r="CJ24" s="44">
        <f t="shared" si="16"/>
        <v>1.94161604262353</v>
      </c>
      <c r="CK24" s="44">
        <f t="shared" si="17"/>
        <v>30</v>
      </c>
      <c r="CL24" s="44">
        <f t="shared" si="18"/>
        <v>10</v>
      </c>
      <c r="CM24" s="44">
        <f t="shared" si="19"/>
        <v>10</v>
      </c>
      <c r="CN24" s="47">
        <f t="shared" si="20"/>
        <v>0</v>
      </c>
      <c r="CO24" s="5"/>
      <c r="CP24" s="47">
        <f t="shared" si="21"/>
        <v>1.9694784281315585E-2</v>
      </c>
      <c r="CQ24" s="47">
        <f t="shared" si="22"/>
        <v>6.1437879680323514E-2</v>
      </c>
      <c r="CR24" s="47">
        <f t="shared" si="23"/>
        <v>1.0473522760343532</v>
      </c>
      <c r="CS24" s="47">
        <f t="shared" si="24"/>
        <v>0.90000000000000036</v>
      </c>
      <c r="CT24" s="47">
        <f t="shared" si="25"/>
        <v>4.4258328311956606E-2</v>
      </c>
      <c r="CU24" s="47">
        <f t="shared" si="26"/>
        <v>2.0727432683079492</v>
      </c>
    </row>
    <row r="25" spans="1:99" ht="15" customHeight="1">
      <c r="A25" s="5"/>
      <c r="B25" s="37" t="s">
        <v>123</v>
      </c>
      <c r="C25" s="37" t="s">
        <v>252</v>
      </c>
      <c r="D25" s="37" t="s">
        <v>255</v>
      </c>
      <c r="E25" s="26">
        <v>42551</v>
      </c>
      <c r="F25" s="38">
        <f t="shared" si="2"/>
        <v>77.694257642790348</v>
      </c>
      <c r="G25" s="4">
        <f>25525262-1107784-4360975-9225176</f>
        <v>10831327</v>
      </c>
      <c r="H25" s="4">
        <f>5774142-1429549-791346</f>
        <v>3553247</v>
      </c>
      <c r="I25" s="4">
        <v>25525262</v>
      </c>
      <c r="J25" s="4">
        <v>19983103</v>
      </c>
      <c r="K25" s="4">
        <v>10506791</v>
      </c>
      <c r="L25" s="4">
        <f>28140770+24261+26459+241191</f>
        <v>28432681</v>
      </c>
      <c r="M25" s="4">
        <v>1435889</v>
      </c>
      <c r="N25" s="4">
        <v>1328786</v>
      </c>
      <c r="O25" s="4">
        <v>4785675</v>
      </c>
      <c r="P25" s="4">
        <f>SUM(L25:O25)</f>
        <v>35983031</v>
      </c>
      <c r="Q25" s="4">
        <v>34206424</v>
      </c>
      <c r="R25" s="4">
        <f>P25-Q25</f>
        <v>1776607</v>
      </c>
      <c r="S25" s="27">
        <v>35810524</v>
      </c>
      <c r="T25" s="27">
        <v>36164294</v>
      </c>
      <c r="U25" s="27">
        <v>36055963</v>
      </c>
      <c r="V25" s="27">
        <v>36404083</v>
      </c>
      <c r="W25" s="27">
        <v>583732</v>
      </c>
      <c r="X25" s="27">
        <v>3045691</v>
      </c>
      <c r="Y25" s="27">
        <v>666204</v>
      </c>
      <c r="Z25" s="27">
        <v>112918</v>
      </c>
      <c r="AA25" s="27">
        <f>5266586-3045691-112918-666204</f>
        <v>1441773</v>
      </c>
      <c r="AB25" s="27">
        <f>X25+Y25+Z25+AA25</f>
        <v>5266586</v>
      </c>
      <c r="AC25" s="27">
        <v>112918</v>
      </c>
      <c r="AD25" s="27">
        <v>0</v>
      </c>
      <c r="AE25" s="27">
        <f t="shared" si="29"/>
        <v>112918</v>
      </c>
      <c r="AF25" s="27">
        <v>0</v>
      </c>
      <c r="AG25" s="27">
        <v>26170</v>
      </c>
      <c r="AH25" s="27">
        <v>25226</v>
      </c>
      <c r="AI25" s="27">
        <v>22062</v>
      </c>
      <c r="AJ25" s="26">
        <v>41821</v>
      </c>
      <c r="AK25" s="39">
        <v>0</v>
      </c>
      <c r="AL25" s="39">
        <v>191639</v>
      </c>
      <c r="AM25" s="39">
        <f>AL25-AK25</f>
        <v>191639</v>
      </c>
      <c r="AN25" s="40">
        <f>AK25/AL25</f>
        <v>0</v>
      </c>
      <c r="AO25" s="50" t="s">
        <v>267</v>
      </c>
      <c r="AP25" s="50" t="s">
        <v>268</v>
      </c>
      <c r="AQ25" s="27">
        <v>202326</v>
      </c>
      <c r="AR25" s="27">
        <v>188921</v>
      </c>
      <c r="AS25" s="27">
        <v>0</v>
      </c>
      <c r="AT25" s="27">
        <v>0</v>
      </c>
      <c r="AU25" s="27">
        <v>310000</v>
      </c>
      <c r="AV25" s="27">
        <f>276741+700278</f>
        <v>977019</v>
      </c>
      <c r="AW25" s="27">
        <v>4558560</v>
      </c>
      <c r="AX25" s="27">
        <f t="shared" si="5"/>
        <v>5845579</v>
      </c>
      <c r="AY25" s="27">
        <v>224600</v>
      </c>
      <c r="AZ25" s="27">
        <v>58997</v>
      </c>
      <c r="BA25" s="27">
        <v>3919803</v>
      </c>
      <c r="BB25" s="27">
        <f>276741+700293</f>
        <v>977034</v>
      </c>
      <c r="BC25" s="27">
        <v>4558560</v>
      </c>
      <c r="BD25" s="27">
        <f t="shared" si="6"/>
        <v>9738994</v>
      </c>
      <c r="BE25" s="29">
        <f t="shared" si="7"/>
        <v>5.6228170439560805E-3</v>
      </c>
      <c r="BF25" s="29">
        <f t="shared" si="8"/>
        <v>0.1616395165905907</v>
      </c>
      <c r="BG25" s="29">
        <f t="shared" si="9"/>
        <v>0.12784865177144195</v>
      </c>
      <c r="BH25" s="42">
        <f>VLOOKUP(B25,Unemployment!$A$2:$F$193,6,0)</f>
        <v>-0.20000000000000018</v>
      </c>
      <c r="BI25" s="29">
        <f>VLOOKUP(B25,Zillow!$C$11:$R$193,16,0)</f>
        <v>1.8089887640449307E-2</v>
      </c>
      <c r="BJ25" s="5"/>
      <c r="BK25" s="6">
        <v>10</v>
      </c>
      <c r="BL25" s="6">
        <v>40</v>
      </c>
      <c r="BM25" s="6">
        <v>30</v>
      </c>
      <c r="BN25" s="6">
        <v>10</v>
      </c>
      <c r="BO25" s="6">
        <v>10</v>
      </c>
      <c r="BP25" s="5"/>
      <c r="BQ25" s="43">
        <v>0.2</v>
      </c>
      <c r="BR25" s="43">
        <v>0.02</v>
      </c>
      <c r="BS25" s="43">
        <v>2.2000000000000002</v>
      </c>
      <c r="BT25" s="44">
        <v>0.02</v>
      </c>
      <c r="BU25" s="43">
        <v>-7.0000000000000007E-2</v>
      </c>
      <c r="BV25" s="5"/>
      <c r="BW25" s="43">
        <v>0.05</v>
      </c>
      <c r="BX25" s="43">
        <v>0.32</v>
      </c>
      <c r="BY25" s="43">
        <v>0.4</v>
      </c>
      <c r="BZ25" s="44">
        <v>0</v>
      </c>
      <c r="CA25" s="43">
        <v>0.03</v>
      </c>
      <c r="CB25" s="5"/>
      <c r="CC25" s="45">
        <f t="shared" si="10"/>
        <v>-1.5000000000000003E-2</v>
      </c>
      <c r="CD25" s="45">
        <f t="shared" si="11"/>
        <v>7.4999999999999997E-3</v>
      </c>
      <c r="CE25" s="45">
        <f t="shared" si="12"/>
        <v>-6.0000000000000012E-2</v>
      </c>
      <c r="CF25" s="46">
        <f t="shared" si="13"/>
        <v>-2E-3</v>
      </c>
      <c r="CG25" s="45">
        <f t="shared" si="14"/>
        <v>0.01</v>
      </c>
      <c r="CH25" s="5"/>
      <c r="CI25" s="44">
        <f t="shared" si="15"/>
        <v>10</v>
      </c>
      <c r="CJ25" s="44">
        <f t="shared" si="16"/>
        <v>18.885268878745428</v>
      </c>
      <c r="CK25" s="44">
        <f t="shared" si="17"/>
        <v>30</v>
      </c>
      <c r="CL25" s="44">
        <f t="shared" si="18"/>
        <v>10</v>
      </c>
      <c r="CM25" s="44">
        <f t="shared" si="19"/>
        <v>8.8089887640449316</v>
      </c>
      <c r="CN25" s="47">
        <f t="shared" si="20"/>
        <v>0</v>
      </c>
      <c r="CO25" s="5"/>
      <c r="CP25" s="47">
        <f t="shared" si="21"/>
        <v>1.3122817043956084E-2</v>
      </c>
      <c r="CQ25" s="47">
        <f t="shared" si="22"/>
        <v>6.563951659059071E-2</v>
      </c>
      <c r="CR25" s="47">
        <f t="shared" si="23"/>
        <v>0.84784865177144209</v>
      </c>
      <c r="CS25" s="47">
        <f t="shared" si="24"/>
        <v>0.20000000000000018</v>
      </c>
      <c r="CT25" s="47">
        <f t="shared" si="25"/>
        <v>1.5089887640449308E-2</v>
      </c>
      <c r="CU25" s="47">
        <f t="shared" si="26"/>
        <v>1.1417008730464384</v>
      </c>
    </row>
    <row r="26" spans="1:99" ht="15" customHeight="1">
      <c r="A26" s="5"/>
      <c r="B26" s="37" t="s">
        <v>96</v>
      </c>
      <c r="C26" s="37" t="s">
        <v>252</v>
      </c>
      <c r="D26" s="37" t="s">
        <v>255</v>
      </c>
      <c r="E26" s="26">
        <v>42551</v>
      </c>
      <c r="F26" s="38">
        <f t="shared" si="2"/>
        <v>74.8497343049996</v>
      </c>
      <c r="G26" s="4">
        <f>9343592-4590843-241150</f>
        <v>4511599</v>
      </c>
      <c r="H26" s="4">
        <f>3910690-213417-3187028</f>
        <v>510245</v>
      </c>
      <c r="I26" s="4">
        <v>9343592</v>
      </c>
      <c r="J26" s="4">
        <v>5403070</v>
      </c>
      <c r="K26" s="4">
        <v>3249008</v>
      </c>
      <c r="L26" s="4">
        <v>4382432</v>
      </c>
      <c r="M26" s="4">
        <v>89931</v>
      </c>
      <c r="N26" s="4">
        <v>195974</v>
      </c>
      <c r="O26" s="4">
        <v>667885</v>
      </c>
      <c r="P26" s="4">
        <f>SUM(L26:O26)</f>
        <v>5336222</v>
      </c>
      <c r="Q26" s="4">
        <v>5175657</v>
      </c>
      <c r="R26" s="4">
        <v>160565</v>
      </c>
      <c r="S26" s="27">
        <v>5161835</v>
      </c>
      <c r="T26" s="27">
        <v>4870553</v>
      </c>
      <c r="U26" s="27">
        <v>5280410</v>
      </c>
      <c r="V26" s="27">
        <v>5599891</v>
      </c>
      <c r="W26" s="27">
        <v>144222</v>
      </c>
      <c r="X26" s="27">
        <f>198444+14973</f>
        <v>213417</v>
      </c>
      <c r="Y26" s="27">
        <v>0</v>
      </c>
      <c r="Z26" s="27">
        <v>271155</v>
      </c>
      <c r="AA26" s="27">
        <f>3126388+274057-Z26-X26</f>
        <v>2915873</v>
      </c>
      <c r="AB26" s="27">
        <f>X26+Y26+Z26+AA26</f>
        <v>3400445</v>
      </c>
      <c r="AC26" s="27">
        <v>271155</v>
      </c>
      <c r="AD26" s="27">
        <v>0</v>
      </c>
      <c r="AE26" s="27">
        <f t="shared" si="29"/>
        <v>271155</v>
      </c>
      <c r="AF26" s="27">
        <v>0</v>
      </c>
      <c r="AG26" s="27">
        <v>11414</v>
      </c>
      <c r="AH26" s="27">
        <v>10455</v>
      </c>
      <c r="AI26" s="27">
        <v>1693</v>
      </c>
      <c r="AJ26" s="26">
        <v>42186</v>
      </c>
      <c r="AK26" s="39">
        <v>0</v>
      </c>
      <c r="AL26" s="39">
        <v>97884</v>
      </c>
      <c r="AM26" s="39">
        <f>AL26-AK26</f>
        <v>97884</v>
      </c>
      <c r="AN26" s="40">
        <v>0</v>
      </c>
      <c r="AO26" s="40"/>
      <c r="AP26" s="40">
        <v>2.5000000000000001E-2</v>
      </c>
      <c r="AQ26" s="27">
        <v>0</v>
      </c>
      <c r="AR26" s="27">
        <v>0</v>
      </c>
      <c r="AS26" s="27">
        <v>0</v>
      </c>
      <c r="AT26" s="27">
        <v>0</v>
      </c>
      <c r="AU26" s="27">
        <v>12526</v>
      </c>
      <c r="AV26" s="27">
        <f>31206+186982</f>
        <v>218188</v>
      </c>
      <c r="AW26" s="27">
        <v>632745</v>
      </c>
      <c r="AX26" s="27">
        <f t="shared" si="5"/>
        <v>863459</v>
      </c>
      <c r="AY26" s="27">
        <v>0</v>
      </c>
      <c r="AZ26" s="27">
        <v>12404</v>
      </c>
      <c r="BA26" s="27">
        <f>2875118+12526</f>
        <v>2887644</v>
      </c>
      <c r="BB26" s="27">
        <f>31206+186982+0</f>
        <v>218188</v>
      </c>
      <c r="BC26" s="27">
        <v>632745</v>
      </c>
      <c r="BD26" s="27">
        <f t="shared" si="6"/>
        <v>3750981</v>
      </c>
      <c r="BE26" s="29">
        <f t="shared" si="7"/>
        <v>0</v>
      </c>
      <c r="BF26" s="29">
        <f t="shared" si="8"/>
        <v>0.17728151197615549</v>
      </c>
      <c r="BG26" s="29">
        <f t="shared" si="9"/>
        <v>0.63723829330938631</v>
      </c>
      <c r="BH26" s="42">
        <f>VLOOKUP(B26,Unemployment!$A$2:$F$193,6,0)</f>
        <v>-0.70000000000000018</v>
      </c>
      <c r="BI26" s="29">
        <f>VLOOKUP(B26,Zillow!$C$11:$R$193,16,0)</f>
        <v>8.3283759666863966E-3</v>
      </c>
      <c r="BJ26" s="5"/>
      <c r="BK26" s="6">
        <v>10</v>
      </c>
      <c r="BL26" s="6">
        <v>40</v>
      </c>
      <c r="BM26" s="6">
        <v>30</v>
      </c>
      <c r="BN26" s="6">
        <v>10</v>
      </c>
      <c r="BO26" s="6">
        <v>10</v>
      </c>
      <c r="BP26" s="5"/>
      <c r="BQ26" s="43">
        <v>0.2</v>
      </c>
      <c r="BR26" s="43">
        <v>0.02</v>
      </c>
      <c r="BS26" s="43">
        <v>2.2000000000000002</v>
      </c>
      <c r="BT26" s="44">
        <v>0.02</v>
      </c>
      <c r="BU26" s="43">
        <v>-7.0000000000000007E-2</v>
      </c>
      <c r="BV26" s="5"/>
      <c r="BW26" s="43">
        <v>0.05</v>
      </c>
      <c r="BX26" s="43">
        <v>0.32</v>
      </c>
      <c r="BY26" s="43">
        <v>0.4</v>
      </c>
      <c r="BZ26" s="44">
        <v>0</v>
      </c>
      <c r="CA26" s="43">
        <v>0.03</v>
      </c>
      <c r="CB26" s="5"/>
      <c r="CC26" s="45">
        <f t="shared" si="10"/>
        <v>-1.5000000000000003E-2</v>
      </c>
      <c r="CD26" s="45">
        <f t="shared" si="11"/>
        <v>7.4999999999999997E-3</v>
      </c>
      <c r="CE26" s="45">
        <f t="shared" si="12"/>
        <v>-6.0000000000000012E-2</v>
      </c>
      <c r="CF26" s="46">
        <f t="shared" si="13"/>
        <v>-2E-3</v>
      </c>
      <c r="CG26" s="45">
        <f t="shared" si="14"/>
        <v>0.01</v>
      </c>
      <c r="CH26" s="5"/>
      <c r="CI26" s="44">
        <f t="shared" si="15"/>
        <v>10</v>
      </c>
      <c r="CJ26" s="44">
        <f t="shared" si="16"/>
        <v>20.9708682634874</v>
      </c>
      <c r="CK26" s="44">
        <f t="shared" si="17"/>
        <v>26.046028444843561</v>
      </c>
      <c r="CL26" s="44">
        <f t="shared" si="18"/>
        <v>10</v>
      </c>
      <c r="CM26" s="44">
        <f t="shared" si="19"/>
        <v>7.8328375966686403</v>
      </c>
      <c r="CN26" s="47">
        <f t="shared" si="20"/>
        <v>0</v>
      </c>
      <c r="CO26" s="5"/>
      <c r="CP26" s="47">
        <f t="shared" si="21"/>
        <v>7.5000000000000023E-3</v>
      </c>
      <c r="CQ26" s="47">
        <f t="shared" si="22"/>
        <v>8.1281511976155504E-2</v>
      </c>
      <c r="CR26" s="47">
        <f t="shared" si="23"/>
        <v>1.3572382933093865</v>
      </c>
      <c r="CS26" s="47">
        <f t="shared" si="24"/>
        <v>0.70000000000000018</v>
      </c>
      <c r="CT26" s="47">
        <f t="shared" si="25"/>
        <v>5.3283759666863974E-3</v>
      </c>
      <c r="CU26" s="47">
        <f t="shared" si="26"/>
        <v>2.1513481812522284</v>
      </c>
    </row>
    <row r="27" spans="1:99" ht="15" customHeight="1">
      <c r="A27" s="5"/>
      <c r="B27" s="37" t="s">
        <v>105</v>
      </c>
      <c r="C27" s="37" t="s">
        <v>252</v>
      </c>
      <c r="D27" s="37" t="s">
        <v>255</v>
      </c>
      <c r="E27" s="26">
        <v>42551</v>
      </c>
      <c r="F27" s="38">
        <f t="shared" si="2"/>
        <v>75.759175689682522</v>
      </c>
      <c r="G27" s="4">
        <f>18997657-8648103-1567638</f>
        <v>8781916</v>
      </c>
      <c r="H27" s="4">
        <f>1678481-875336-68283</f>
        <v>734862</v>
      </c>
      <c r="I27" s="4">
        <v>18997657</v>
      </c>
      <c r="J27" s="4">
        <v>17339129</v>
      </c>
      <c r="K27" s="4">
        <v>3664213</v>
      </c>
      <c r="L27" s="4">
        <v>9718870</v>
      </c>
      <c r="M27" s="4">
        <v>320812</v>
      </c>
      <c r="N27" s="4">
        <v>316898</v>
      </c>
      <c r="O27" s="4">
        <v>6407270</v>
      </c>
      <c r="P27" s="4">
        <f t="shared" ref="P27:P33" si="30">L27+M27+N27+O27</f>
        <v>16763850</v>
      </c>
      <c r="Q27" s="4">
        <v>15639531</v>
      </c>
      <c r="R27" s="4">
        <v>1124319</v>
      </c>
      <c r="S27" s="27">
        <v>15100560</v>
      </c>
      <c r="T27" s="27">
        <v>14700660</v>
      </c>
      <c r="U27" s="27">
        <v>17003535</v>
      </c>
      <c r="V27" s="27">
        <v>15629256</v>
      </c>
      <c r="W27" s="27">
        <v>24900</v>
      </c>
      <c r="X27" s="27">
        <v>68283</v>
      </c>
      <c r="Y27" s="27">
        <v>262895</v>
      </c>
      <c r="Z27" s="27">
        <v>236510</v>
      </c>
      <c r="AA27" s="27">
        <f>943619-236510-262895-68283</f>
        <v>375931</v>
      </c>
      <c r="AB27" s="27">
        <f t="shared" ref="AB27:AB33" si="31">SUM(X27:AA27)</f>
        <v>943619</v>
      </c>
      <c r="AC27" s="27">
        <v>236510</v>
      </c>
      <c r="AD27" s="27">
        <v>0</v>
      </c>
      <c r="AE27" s="27">
        <f t="shared" si="29"/>
        <v>236510</v>
      </c>
      <c r="AF27" s="27">
        <v>0</v>
      </c>
      <c r="AG27" s="27">
        <v>147208</v>
      </c>
      <c r="AH27" s="27">
        <v>147932</v>
      </c>
      <c r="AI27" s="27">
        <v>87883</v>
      </c>
      <c r="AJ27" s="50" t="s">
        <v>259</v>
      </c>
      <c r="AK27" s="39">
        <v>0</v>
      </c>
      <c r="AL27" s="39">
        <v>1321593</v>
      </c>
      <c r="AM27" s="39">
        <v>1321593</v>
      </c>
      <c r="AN27" s="40">
        <f t="shared" ref="AN27:AN35" si="32">AK27/AL27</f>
        <v>0</v>
      </c>
      <c r="AO27" s="50" t="s">
        <v>269</v>
      </c>
      <c r="AP27" s="50" t="s">
        <v>270</v>
      </c>
      <c r="AQ27" s="27">
        <v>58007</v>
      </c>
      <c r="AR27" s="27">
        <v>58007</v>
      </c>
      <c r="AS27" s="27">
        <v>0</v>
      </c>
      <c r="AT27" s="27">
        <v>33377</v>
      </c>
      <c r="AU27" s="27">
        <v>7987</v>
      </c>
      <c r="AV27" s="27">
        <f t="shared" ref="AV27:BB27" si="33">548967+36614</f>
        <v>585581</v>
      </c>
      <c r="AW27" s="27">
        <v>1595217</v>
      </c>
      <c r="AX27" s="27">
        <f t="shared" si="5"/>
        <v>2222162</v>
      </c>
      <c r="AY27" s="27">
        <f>3636+714813+4321</f>
        <v>722770</v>
      </c>
      <c r="AZ27" s="27">
        <f>1007937+9610+38805</f>
        <v>1056352</v>
      </c>
      <c r="BA27" s="27">
        <f>1573440+154458+17386+8671+7987</f>
        <v>1761942</v>
      </c>
      <c r="BB27" s="27">
        <f t="shared" si="33"/>
        <v>585581</v>
      </c>
      <c r="BC27" s="27">
        <v>1587716</v>
      </c>
      <c r="BD27" s="27">
        <f t="shared" si="6"/>
        <v>5714361</v>
      </c>
      <c r="BE27" s="29">
        <f t="shared" si="7"/>
        <v>3.4602433211941173E-3</v>
      </c>
      <c r="BF27" s="29">
        <f t="shared" si="8"/>
        <v>0.15116069618642972</v>
      </c>
      <c r="BG27" s="29">
        <f t="shared" si="9"/>
        <v>4.0606662550667062E-2</v>
      </c>
      <c r="BH27" s="42">
        <f>VLOOKUP(B27,Unemployment!$A$2:$F$193,6,0)</f>
        <v>-0.90000000000000036</v>
      </c>
      <c r="BI27" s="29">
        <f>VLOOKUP(B27,Zillow!$C$11:$R$193,16,0)</f>
        <v>1.2710828648252261E-2</v>
      </c>
      <c r="BJ27" s="5"/>
      <c r="BK27" s="6">
        <v>10</v>
      </c>
      <c r="BL27" s="6">
        <v>40</v>
      </c>
      <c r="BM27" s="6">
        <v>30</v>
      </c>
      <c r="BN27" s="6">
        <v>10</v>
      </c>
      <c r="BO27" s="6">
        <v>10</v>
      </c>
      <c r="BP27" s="5"/>
      <c r="BQ27" s="43">
        <v>0.2</v>
      </c>
      <c r="BR27" s="43">
        <v>0.02</v>
      </c>
      <c r="BS27" s="43">
        <v>2.2000000000000002</v>
      </c>
      <c r="BT27" s="44">
        <v>0.02</v>
      </c>
      <c r="BU27" s="43">
        <v>-7.0000000000000007E-2</v>
      </c>
      <c r="BV27" s="5"/>
      <c r="BW27" s="43">
        <v>0.05</v>
      </c>
      <c r="BX27" s="43">
        <v>0.32</v>
      </c>
      <c r="BY27" s="43">
        <v>0.4</v>
      </c>
      <c r="BZ27" s="44">
        <v>0</v>
      </c>
      <c r="CA27" s="43">
        <v>0.03</v>
      </c>
      <c r="CB27" s="5"/>
      <c r="CC27" s="45">
        <f t="shared" si="10"/>
        <v>-1.5000000000000003E-2</v>
      </c>
      <c r="CD27" s="45">
        <f t="shared" si="11"/>
        <v>7.4999999999999997E-3</v>
      </c>
      <c r="CE27" s="45">
        <f t="shared" si="12"/>
        <v>-6.0000000000000012E-2</v>
      </c>
      <c r="CF27" s="46">
        <f t="shared" si="13"/>
        <v>-2E-3</v>
      </c>
      <c r="CG27" s="45">
        <f t="shared" si="14"/>
        <v>0.01</v>
      </c>
      <c r="CH27" s="5"/>
      <c r="CI27" s="44">
        <f t="shared" si="15"/>
        <v>10</v>
      </c>
      <c r="CJ27" s="44">
        <f t="shared" si="16"/>
        <v>17.488092824857297</v>
      </c>
      <c r="CK27" s="44">
        <f t="shared" si="17"/>
        <v>30</v>
      </c>
      <c r="CL27" s="44">
        <f t="shared" si="18"/>
        <v>10</v>
      </c>
      <c r="CM27" s="44">
        <f t="shared" si="19"/>
        <v>8.2710828648252264</v>
      </c>
      <c r="CN27" s="47">
        <f t="shared" si="20"/>
        <v>0</v>
      </c>
      <c r="CO27" s="5"/>
      <c r="CP27" s="47">
        <f t="shared" si="21"/>
        <v>1.096024332119412E-2</v>
      </c>
      <c r="CQ27" s="47">
        <f t="shared" si="22"/>
        <v>5.5160696186429728E-2</v>
      </c>
      <c r="CR27" s="47">
        <f t="shared" si="23"/>
        <v>0.76060666255066722</v>
      </c>
      <c r="CS27" s="47">
        <f t="shared" si="24"/>
        <v>0.90000000000000036</v>
      </c>
      <c r="CT27" s="47">
        <f t="shared" si="25"/>
        <v>9.7108286482522621E-3</v>
      </c>
      <c r="CU27" s="47">
        <f t="shared" si="26"/>
        <v>1.7364384307065439</v>
      </c>
    </row>
    <row r="28" spans="1:99" ht="15" customHeight="1">
      <c r="A28" s="5"/>
      <c r="B28" s="37" t="s">
        <v>103</v>
      </c>
      <c r="C28" s="37" t="s">
        <v>252</v>
      </c>
      <c r="D28" s="37" t="s">
        <v>255</v>
      </c>
      <c r="E28" s="26">
        <v>42551</v>
      </c>
      <c r="F28" s="38">
        <f t="shared" si="2"/>
        <v>75.623940168575047</v>
      </c>
      <c r="G28" s="4">
        <f>105674395-86126419-3945705</f>
        <v>15602271</v>
      </c>
      <c r="H28" s="4">
        <f>31030921-25928233-1795589</f>
        <v>3307099</v>
      </c>
      <c r="I28" s="4">
        <v>105674395</v>
      </c>
      <c r="J28" s="4">
        <v>75981717</v>
      </c>
      <c r="K28" s="4">
        <v>3151643</v>
      </c>
      <c r="L28" s="4">
        <v>32451927</v>
      </c>
      <c r="M28" s="4">
        <v>499737</v>
      </c>
      <c r="N28" s="4">
        <v>3870748</v>
      </c>
      <c r="O28" s="4">
        <v>8613637</v>
      </c>
      <c r="P28" s="4">
        <f t="shared" si="30"/>
        <v>45436049</v>
      </c>
      <c r="Q28" s="4">
        <v>44575933</v>
      </c>
      <c r="R28" s="4">
        <v>860116</v>
      </c>
      <c r="S28" s="27">
        <v>40205463</v>
      </c>
      <c r="T28" s="27">
        <v>37948054</v>
      </c>
      <c r="U28" s="27">
        <v>44580106</v>
      </c>
      <c r="V28" s="27">
        <v>46869615</v>
      </c>
      <c r="W28" s="27">
        <v>448876</v>
      </c>
      <c r="X28" s="27">
        <v>1795589</v>
      </c>
      <c r="Y28" s="27">
        <v>7765218</v>
      </c>
      <c r="Z28" s="27">
        <v>0</v>
      </c>
      <c r="AA28" s="27">
        <f>27723822-0-7765218-1795589</f>
        <v>18163015</v>
      </c>
      <c r="AB28" s="27">
        <f t="shared" si="31"/>
        <v>27723822</v>
      </c>
      <c r="AC28" s="27">
        <v>56111</v>
      </c>
      <c r="AD28" s="27">
        <v>0</v>
      </c>
      <c r="AE28" s="27">
        <f t="shared" si="29"/>
        <v>56111</v>
      </c>
      <c r="AF28" s="27">
        <v>0</v>
      </c>
      <c r="AG28" s="27">
        <v>242918</v>
      </c>
      <c r="AH28" s="27">
        <v>244362</v>
      </c>
      <c r="AI28" s="27">
        <v>242918</v>
      </c>
      <c r="AJ28" s="50" t="s">
        <v>259</v>
      </c>
      <c r="AK28" s="39">
        <v>525719</v>
      </c>
      <c r="AL28" s="39">
        <v>2071201</v>
      </c>
      <c r="AM28" s="39">
        <f>AL28-AK28</f>
        <v>1545482</v>
      </c>
      <c r="AN28" s="40">
        <f t="shared" si="32"/>
        <v>0.25382326485937384</v>
      </c>
      <c r="AO28" s="40">
        <v>7.4999999999999997E-2</v>
      </c>
      <c r="AP28" s="50" t="s">
        <v>271</v>
      </c>
      <c r="AQ28" s="27">
        <f>1056295+26544</f>
        <v>1082839</v>
      </c>
      <c r="AR28" s="27">
        <f>1056295+27745</f>
        <v>1084040</v>
      </c>
      <c r="AS28" s="27">
        <v>60060</v>
      </c>
      <c r="AT28" s="27">
        <v>0</v>
      </c>
      <c r="AU28" s="27">
        <v>0</v>
      </c>
      <c r="AV28" s="27">
        <v>165121</v>
      </c>
      <c r="AW28" s="27">
        <v>5874855</v>
      </c>
      <c r="AX28" s="27">
        <f t="shared" si="5"/>
        <v>6100036</v>
      </c>
      <c r="AY28" s="27">
        <v>92137</v>
      </c>
      <c r="AZ28" s="27">
        <v>160725</v>
      </c>
      <c r="BA28" s="27">
        <v>4204392</v>
      </c>
      <c r="BB28" s="27">
        <v>165121</v>
      </c>
      <c r="BC28" s="27">
        <v>5870126</v>
      </c>
      <c r="BD28" s="27">
        <f t="shared" si="6"/>
        <v>10492501</v>
      </c>
      <c r="BE28" s="29">
        <f t="shared" si="7"/>
        <v>2.383215582851405E-2</v>
      </c>
      <c r="BF28" s="29">
        <f t="shared" si="8"/>
        <v>0.16074700431279032</v>
      </c>
      <c r="BG28" s="29">
        <f t="shared" si="9"/>
        <v>0.4392680358276751</v>
      </c>
      <c r="BH28" s="42">
        <f>VLOOKUP(B28,Unemployment!$A$2:$F$193,6,0)</f>
        <v>-0.29999999999999982</v>
      </c>
      <c r="BI28" s="29">
        <f>VLOOKUP(B28,Zillow!$C$11:$R$193,16,0)</f>
        <v>5.1214019066425408E-3</v>
      </c>
      <c r="BJ28" s="5"/>
      <c r="BK28" s="6">
        <v>10</v>
      </c>
      <c r="BL28" s="6">
        <v>40</v>
      </c>
      <c r="BM28" s="6">
        <v>30</v>
      </c>
      <c r="BN28" s="6">
        <v>10</v>
      </c>
      <c r="BO28" s="6">
        <v>10</v>
      </c>
      <c r="BP28" s="5"/>
      <c r="BQ28" s="43">
        <v>0.2</v>
      </c>
      <c r="BR28" s="43">
        <v>0.02</v>
      </c>
      <c r="BS28" s="43">
        <v>2.2000000000000002</v>
      </c>
      <c r="BT28" s="44">
        <v>0.02</v>
      </c>
      <c r="BU28" s="43">
        <v>-7.0000000000000007E-2</v>
      </c>
      <c r="BV28" s="5"/>
      <c r="BW28" s="43">
        <v>0.05</v>
      </c>
      <c r="BX28" s="43">
        <v>0.32</v>
      </c>
      <c r="BY28" s="43">
        <v>0.4</v>
      </c>
      <c r="BZ28" s="44">
        <v>0</v>
      </c>
      <c r="CA28" s="43">
        <v>0.03</v>
      </c>
      <c r="CB28" s="5"/>
      <c r="CC28" s="45">
        <f t="shared" si="10"/>
        <v>-1.5000000000000003E-2</v>
      </c>
      <c r="CD28" s="45">
        <f t="shared" si="11"/>
        <v>7.4999999999999997E-3</v>
      </c>
      <c r="CE28" s="45">
        <f t="shared" si="12"/>
        <v>-6.0000000000000012E-2</v>
      </c>
      <c r="CF28" s="46">
        <f t="shared" si="13"/>
        <v>-2E-3</v>
      </c>
      <c r="CG28" s="45">
        <f t="shared" si="14"/>
        <v>0.01</v>
      </c>
      <c r="CH28" s="5"/>
      <c r="CI28" s="44">
        <f t="shared" si="15"/>
        <v>10</v>
      </c>
      <c r="CJ28" s="44">
        <f t="shared" si="16"/>
        <v>18.766267241705378</v>
      </c>
      <c r="CK28" s="44">
        <f t="shared" si="17"/>
        <v>29.345532736205413</v>
      </c>
      <c r="CL28" s="44">
        <f t="shared" si="18"/>
        <v>10</v>
      </c>
      <c r="CM28" s="44">
        <f t="shared" si="19"/>
        <v>7.5121401906642538</v>
      </c>
      <c r="CN28" s="47">
        <f t="shared" si="20"/>
        <v>0</v>
      </c>
      <c r="CO28" s="5"/>
      <c r="CP28" s="47">
        <f t="shared" si="21"/>
        <v>3.1332155828514049E-2</v>
      </c>
      <c r="CQ28" s="47">
        <f t="shared" si="22"/>
        <v>6.4747004312790332E-2</v>
      </c>
      <c r="CR28" s="47">
        <f t="shared" si="23"/>
        <v>1.1592680358276752</v>
      </c>
      <c r="CS28" s="47">
        <f t="shared" si="24"/>
        <v>0.29999999999999982</v>
      </c>
      <c r="CT28" s="47">
        <f t="shared" si="25"/>
        <v>2.1214019066425412E-3</v>
      </c>
      <c r="CU28" s="47">
        <f t="shared" si="26"/>
        <v>1.557468597875622</v>
      </c>
    </row>
    <row r="29" spans="1:99" ht="15" customHeight="1">
      <c r="A29" s="20"/>
      <c r="B29" s="2" t="s">
        <v>84</v>
      </c>
      <c r="C29" s="2" t="s">
        <v>252</v>
      </c>
      <c r="D29" s="2" t="s">
        <v>255</v>
      </c>
      <c r="E29" s="26">
        <v>42551</v>
      </c>
      <c r="F29" s="38">
        <f t="shared" si="2"/>
        <v>72.848431282693795</v>
      </c>
      <c r="G29" s="27">
        <f>9542577-6944043-355558</f>
        <v>2242976</v>
      </c>
      <c r="H29" s="27">
        <f>1152793-809228-52667</f>
        <v>290898</v>
      </c>
      <c r="I29" s="27">
        <v>9542577</v>
      </c>
      <c r="J29" s="27">
        <v>8389784</v>
      </c>
      <c r="K29" s="27">
        <v>1069006</v>
      </c>
      <c r="L29" s="27">
        <v>5779984</v>
      </c>
      <c r="M29" s="27">
        <v>686877</v>
      </c>
      <c r="N29" s="27">
        <v>135213</v>
      </c>
      <c r="O29" s="27">
        <v>2689756</v>
      </c>
      <c r="P29" s="27">
        <f t="shared" si="30"/>
        <v>9291830</v>
      </c>
      <c r="Q29" s="27">
        <v>8967190</v>
      </c>
      <c r="R29" s="27">
        <v>324640</v>
      </c>
      <c r="S29" s="27">
        <v>8407336</v>
      </c>
      <c r="T29" s="27">
        <v>7892871</v>
      </c>
      <c r="U29" s="27">
        <v>9291631</v>
      </c>
      <c r="V29" s="27">
        <v>9366028</v>
      </c>
      <c r="W29" s="27">
        <v>-57063</v>
      </c>
      <c r="X29" s="27">
        <v>52667</v>
      </c>
      <c r="Y29" s="27">
        <v>0</v>
      </c>
      <c r="Z29" s="27">
        <v>466205</v>
      </c>
      <c r="AA29" s="27">
        <f>861895-0-466205-52667</f>
        <v>343023</v>
      </c>
      <c r="AB29" s="27">
        <f t="shared" si="31"/>
        <v>861895</v>
      </c>
      <c r="AC29" s="27">
        <v>466205</v>
      </c>
      <c r="AD29" s="27">
        <v>0</v>
      </c>
      <c r="AE29" s="27">
        <f t="shared" si="29"/>
        <v>466205</v>
      </c>
      <c r="AF29" s="27">
        <v>0</v>
      </c>
      <c r="AG29" s="27">
        <v>74728</v>
      </c>
      <c r="AH29" s="27">
        <v>74362</v>
      </c>
      <c r="AI29" s="27">
        <v>14784</v>
      </c>
      <c r="AJ29" s="50" t="s">
        <v>263</v>
      </c>
      <c r="AK29" s="39">
        <v>0</v>
      </c>
      <c r="AL29" s="39">
        <v>797979</v>
      </c>
      <c r="AM29" s="39">
        <v>797979</v>
      </c>
      <c r="AN29" s="40">
        <f t="shared" si="32"/>
        <v>0</v>
      </c>
      <c r="AO29" s="40">
        <v>3.5000000000000003E-2</v>
      </c>
      <c r="AP29" s="40"/>
      <c r="AQ29" s="27">
        <v>0</v>
      </c>
      <c r="AR29" s="27">
        <v>0</v>
      </c>
      <c r="AS29" s="27">
        <v>1151</v>
      </c>
      <c r="AT29" s="27">
        <v>67191</v>
      </c>
      <c r="AU29" s="27">
        <v>0</v>
      </c>
      <c r="AV29" s="27">
        <v>52721</v>
      </c>
      <c r="AW29" s="27">
        <v>797377</v>
      </c>
      <c r="AX29" s="27">
        <f t="shared" si="5"/>
        <v>918440</v>
      </c>
      <c r="AY29" s="27">
        <v>8640</v>
      </c>
      <c r="AZ29" s="27">
        <v>67191</v>
      </c>
      <c r="BA29" s="27">
        <v>919581</v>
      </c>
      <c r="BB29" s="27">
        <v>109674</v>
      </c>
      <c r="BC29" s="27">
        <v>769289</v>
      </c>
      <c r="BD29" s="27">
        <f t="shared" si="6"/>
        <v>1874375</v>
      </c>
      <c r="BE29" s="29">
        <f t="shared" si="7"/>
        <v>0</v>
      </c>
      <c r="BF29" s="29">
        <f t="shared" si="8"/>
        <v>0.11636323462020347</v>
      </c>
      <c r="BG29" s="29">
        <f t="shared" si="9"/>
        <v>9.2758369449290404E-2</v>
      </c>
      <c r="BH29" s="42">
        <f>VLOOKUP(B29,Unemployment!$A$2:$F$193,6,0)</f>
        <v>-0.69999999999999929</v>
      </c>
      <c r="BI29" s="29">
        <f>VLOOKUP(B29,Zillow!$C$11:$R$193,16,0)</f>
        <v>5.008476628723639E-2</v>
      </c>
      <c r="BJ29" s="20"/>
      <c r="BK29" s="42">
        <v>10</v>
      </c>
      <c r="BL29" s="42">
        <v>40</v>
      </c>
      <c r="BM29" s="42">
        <v>30</v>
      </c>
      <c r="BN29" s="42">
        <v>10</v>
      </c>
      <c r="BO29" s="42">
        <v>10</v>
      </c>
      <c r="BP29" s="20"/>
      <c r="BQ29" s="30">
        <v>0.2</v>
      </c>
      <c r="BR29" s="30">
        <v>0.02</v>
      </c>
      <c r="BS29" s="30">
        <v>2.2000000000000002</v>
      </c>
      <c r="BT29" s="31">
        <v>0.02</v>
      </c>
      <c r="BU29" s="30">
        <v>-7.0000000000000007E-2</v>
      </c>
      <c r="BV29" s="20"/>
      <c r="BW29" s="30">
        <v>0.05</v>
      </c>
      <c r="BX29" s="30">
        <v>0.32</v>
      </c>
      <c r="BY29" s="30">
        <v>0.4</v>
      </c>
      <c r="BZ29" s="31">
        <v>0</v>
      </c>
      <c r="CA29" s="30">
        <v>0.03</v>
      </c>
      <c r="CB29" s="20"/>
      <c r="CC29" s="29">
        <f t="shared" si="10"/>
        <v>-1.5000000000000003E-2</v>
      </c>
      <c r="CD29" s="29">
        <f t="shared" si="11"/>
        <v>7.4999999999999997E-3</v>
      </c>
      <c r="CE29" s="29">
        <f t="shared" si="12"/>
        <v>-6.0000000000000012E-2</v>
      </c>
      <c r="CF29" s="32">
        <f t="shared" si="13"/>
        <v>-2E-3</v>
      </c>
      <c r="CG29" s="29">
        <f t="shared" si="14"/>
        <v>0.01</v>
      </c>
      <c r="CH29" s="20"/>
      <c r="CI29" s="31">
        <f t="shared" si="15"/>
        <v>10</v>
      </c>
      <c r="CJ29" s="31">
        <f t="shared" si="16"/>
        <v>12.848431282693795</v>
      </c>
      <c r="CK29" s="31">
        <f t="shared" si="17"/>
        <v>30</v>
      </c>
      <c r="CL29" s="31">
        <f t="shared" si="18"/>
        <v>10</v>
      </c>
      <c r="CM29" s="31">
        <f t="shared" si="19"/>
        <v>10</v>
      </c>
      <c r="CN29" s="33">
        <f t="shared" si="20"/>
        <v>0</v>
      </c>
      <c r="CO29" s="20"/>
      <c r="CP29" s="33">
        <f t="shared" si="21"/>
        <v>7.5000000000000023E-3</v>
      </c>
      <c r="CQ29" s="33">
        <f t="shared" si="22"/>
        <v>2.036323462020348E-2</v>
      </c>
      <c r="CR29" s="33">
        <f t="shared" si="23"/>
        <v>0.81275836944929059</v>
      </c>
      <c r="CS29" s="33">
        <f t="shared" si="24"/>
        <v>0.69999999999999929</v>
      </c>
      <c r="CT29" s="33">
        <f t="shared" si="25"/>
        <v>4.7084766287236388E-2</v>
      </c>
      <c r="CU29" s="33">
        <f t="shared" si="26"/>
        <v>1.5877063703567298</v>
      </c>
    </row>
    <row r="30" spans="1:99" ht="15" customHeight="1">
      <c r="A30" s="5"/>
      <c r="B30" s="37" t="s">
        <v>22</v>
      </c>
      <c r="C30" s="37" t="s">
        <v>252</v>
      </c>
      <c r="D30" s="37" t="s">
        <v>255</v>
      </c>
      <c r="E30" s="26">
        <v>42551</v>
      </c>
      <c r="F30" s="38">
        <f t="shared" si="2"/>
        <v>61.679236625001117</v>
      </c>
      <c r="G30" s="4">
        <v>45695639</v>
      </c>
      <c r="H30" s="4">
        <v>45829511</v>
      </c>
      <c r="I30" s="4">
        <v>269713027</v>
      </c>
      <c r="J30" s="4">
        <v>108172179</v>
      </c>
      <c r="K30" s="4">
        <v>-24136381</v>
      </c>
      <c r="L30" s="4">
        <v>91016925</v>
      </c>
      <c r="M30" s="4">
        <v>5890851</v>
      </c>
      <c r="N30" s="4">
        <v>7715705</v>
      </c>
      <c r="O30" s="4">
        <v>22485041</v>
      </c>
      <c r="P30" s="4">
        <f t="shared" si="30"/>
        <v>127108522</v>
      </c>
      <c r="Q30" s="4">
        <v>121144282</v>
      </c>
      <c r="R30" s="4">
        <v>5964240</v>
      </c>
      <c r="S30" s="27">
        <v>112704206</v>
      </c>
      <c r="T30" s="27">
        <v>112533678</v>
      </c>
      <c r="U30" s="27">
        <v>126951412</v>
      </c>
      <c r="V30" s="27">
        <v>138048641</v>
      </c>
      <c r="W30" s="27">
        <v>-144244</v>
      </c>
      <c r="X30" s="27">
        <v>7577931</v>
      </c>
      <c r="Y30" s="27">
        <v>37810874</v>
      </c>
      <c r="Z30" s="27">
        <v>9106534</v>
      </c>
      <c r="AA30" s="27">
        <f>124817760-9106534-37810874-7577931</f>
        <v>70322421</v>
      </c>
      <c r="AB30" s="27">
        <f t="shared" si="31"/>
        <v>124817760</v>
      </c>
      <c r="AC30" s="27">
        <f>4573352+4533182-651451</f>
        <v>8455083</v>
      </c>
      <c r="AD30" s="27">
        <v>0</v>
      </c>
      <c r="AE30" s="27">
        <f t="shared" si="29"/>
        <v>8455083</v>
      </c>
      <c r="AF30" s="27">
        <v>0</v>
      </c>
      <c r="AG30" s="27">
        <f>94993+732922+1054874</f>
        <v>1882789</v>
      </c>
      <c r="AH30" s="27">
        <f>94993+759355+1054874</f>
        <v>1909222</v>
      </c>
      <c r="AI30" s="27">
        <f>209700+404366+638706</f>
        <v>1252772</v>
      </c>
      <c r="AJ30" s="50" t="s">
        <v>260</v>
      </c>
      <c r="AK30" s="39">
        <f>58513+724799+452885</f>
        <v>1236197</v>
      </c>
      <c r="AL30" s="39">
        <f>2259585+8459756+17488790</f>
        <v>28208131</v>
      </c>
      <c r="AM30" s="39">
        <f t="shared" ref="AM30:AM35" si="34">AL30-AK30</f>
        <v>26971934</v>
      </c>
      <c r="AN30" s="40">
        <f t="shared" si="32"/>
        <v>4.3824137090117739E-2</v>
      </c>
      <c r="AO30" s="50" t="s">
        <v>272</v>
      </c>
      <c r="AP30" s="50" t="s">
        <v>273</v>
      </c>
      <c r="AQ30" s="27">
        <f>1821202+1342563+263917</f>
        <v>3427682</v>
      </c>
      <c r="AR30" s="27">
        <f>1821202+1152765+263917</f>
        <v>3237884</v>
      </c>
      <c r="AS30" s="27">
        <v>76554</v>
      </c>
      <c r="AT30" s="27">
        <v>0</v>
      </c>
      <c r="AU30" s="27">
        <v>100000</v>
      </c>
      <c r="AV30" s="27">
        <v>2231241</v>
      </c>
      <c r="AW30" s="27">
        <v>9397574</v>
      </c>
      <c r="AX30" s="27">
        <f t="shared" si="5"/>
        <v>11805369</v>
      </c>
      <c r="AY30" s="27">
        <v>190123</v>
      </c>
      <c r="AZ30" s="27">
        <v>5400071</v>
      </c>
      <c r="BA30" s="27">
        <v>7733376</v>
      </c>
      <c r="BB30" s="27">
        <v>2674281</v>
      </c>
      <c r="BC30" s="27">
        <v>-16786877</v>
      </c>
      <c r="BD30" s="27">
        <f t="shared" si="6"/>
        <v>-789026</v>
      </c>
      <c r="BE30" s="29">
        <f t="shared" si="7"/>
        <v>2.696657899932154E-2</v>
      </c>
      <c r="BF30" s="29">
        <f t="shared" si="8"/>
        <v>0.10490520890999404</v>
      </c>
      <c r="BG30" s="29">
        <f t="shared" si="9"/>
        <v>0.68450867519331238</v>
      </c>
      <c r="BH30" s="42">
        <f>VLOOKUP(B30,Unemployment!$A$2:$F$193,6,0)</f>
        <v>-0.29999999999999982</v>
      </c>
      <c r="BI30" s="29">
        <f>VLOOKUP(B30,Zillow!$C$11:$R$193,16,0)</f>
        <v>-1.8996466431095406E-2</v>
      </c>
      <c r="BJ30" s="5"/>
      <c r="BK30" s="6">
        <v>10</v>
      </c>
      <c r="BL30" s="6">
        <v>40</v>
      </c>
      <c r="BM30" s="6">
        <v>30</v>
      </c>
      <c r="BN30" s="6">
        <v>10</v>
      </c>
      <c r="BO30" s="6">
        <v>10</v>
      </c>
      <c r="BP30" s="5"/>
      <c r="BQ30" s="43">
        <v>0.2</v>
      </c>
      <c r="BR30" s="43">
        <v>0.02</v>
      </c>
      <c r="BS30" s="43">
        <v>2.2000000000000002</v>
      </c>
      <c r="BT30" s="44">
        <v>0.02</v>
      </c>
      <c r="BU30" s="43">
        <v>-7.0000000000000007E-2</v>
      </c>
      <c r="BV30" s="5"/>
      <c r="BW30" s="43">
        <v>0.05</v>
      </c>
      <c r="BX30" s="43">
        <v>0.32</v>
      </c>
      <c r="BY30" s="43">
        <v>0.4</v>
      </c>
      <c r="BZ30" s="44">
        <v>0</v>
      </c>
      <c r="CA30" s="43">
        <v>0.03</v>
      </c>
      <c r="CB30" s="5"/>
      <c r="CC30" s="45">
        <f t="shared" si="10"/>
        <v>-1.5000000000000003E-2</v>
      </c>
      <c r="CD30" s="45">
        <f t="shared" si="11"/>
        <v>7.4999999999999997E-3</v>
      </c>
      <c r="CE30" s="45">
        <f t="shared" si="12"/>
        <v>-6.0000000000000012E-2</v>
      </c>
      <c r="CF30" s="46">
        <f t="shared" si="13"/>
        <v>-2E-3</v>
      </c>
      <c r="CG30" s="45">
        <f t="shared" si="14"/>
        <v>0.01</v>
      </c>
      <c r="CH30" s="5"/>
      <c r="CI30" s="44">
        <f t="shared" si="15"/>
        <v>10</v>
      </c>
      <c r="CJ30" s="44">
        <f t="shared" si="16"/>
        <v>11.320694521332538</v>
      </c>
      <c r="CK30" s="44">
        <f t="shared" si="17"/>
        <v>25.258188746778124</v>
      </c>
      <c r="CL30" s="44">
        <f t="shared" si="18"/>
        <v>10</v>
      </c>
      <c r="CM30" s="44">
        <f t="shared" si="19"/>
        <v>5.1003533568904595</v>
      </c>
      <c r="CN30" s="47">
        <f t="shared" si="20"/>
        <v>0</v>
      </c>
      <c r="CO30" s="5"/>
      <c r="CP30" s="47">
        <f t="shared" si="21"/>
        <v>3.446657899932154E-2</v>
      </c>
      <c r="CQ30" s="47">
        <f t="shared" si="22"/>
        <v>8.9052089099940501E-3</v>
      </c>
      <c r="CR30" s="47">
        <f t="shared" si="23"/>
        <v>1.4045086751933127</v>
      </c>
      <c r="CS30" s="47">
        <f t="shared" si="24"/>
        <v>0.29999999999999982</v>
      </c>
      <c r="CT30" s="47">
        <f t="shared" si="25"/>
        <v>2.1996466431095405E-2</v>
      </c>
      <c r="CU30" s="47">
        <f t="shared" si="26"/>
        <v>1.7698769295337236</v>
      </c>
    </row>
    <row r="31" spans="1:99" ht="15" customHeight="1">
      <c r="A31" s="5"/>
      <c r="B31" s="37" t="s">
        <v>135</v>
      </c>
      <c r="C31" s="37" t="s">
        <v>252</v>
      </c>
      <c r="D31" s="37" t="s">
        <v>255</v>
      </c>
      <c r="E31" s="26">
        <v>42551</v>
      </c>
      <c r="F31" s="38">
        <f t="shared" si="2"/>
        <v>79.976953825587074</v>
      </c>
      <c r="G31" s="4">
        <f>17447160-11534557-965840</f>
        <v>4946763</v>
      </c>
      <c r="H31" s="4">
        <f>2610693-1916436-212690</f>
        <v>481567</v>
      </c>
      <c r="I31" s="4">
        <v>17447160</v>
      </c>
      <c r="J31" s="4">
        <v>14927318</v>
      </c>
      <c r="K31" s="4">
        <v>3213271</v>
      </c>
      <c r="L31" s="4">
        <v>11481953</v>
      </c>
      <c r="M31" s="4">
        <v>665256</v>
      </c>
      <c r="N31" s="4">
        <v>475354</v>
      </c>
      <c r="O31" s="4">
        <v>1595271</v>
      </c>
      <c r="P31" s="4">
        <f t="shared" si="30"/>
        <v>14217834</v>
      </c>
      <c r="Q31" s="4">
        <v>12930921</v>
      </c>
      <c r="R31" s="4">
        <v>1286913</v>
      </c>
      <c r="S31" s="27">
        <v>13033658</v>
      </c>
      <c r="T31" s="27">
        <v>12429308</v>
      </c>
      <c r="U31" s="27">
        <v>14105484</v>
      </c>
      <c r="V31" s="27">
        <v>14150902</v>
      </c>
      <c r="W31" s="27">
        <v>95313</v>
      </c>
      <c r="X31" s="27">
        <v>212690</v>
      </c>
      <c r="Y31" s="27">
        <v>836092</v>
      </c>
      <c r="Z31" s="27">
        <v>69269</v>
      </c>
      <c r="AA31" s="27">
        <f>2129126-69269-836092-212690</f>
        <v>1011075</v>
      </c>
      <c r="AB31" s="27">
        <f t="shared" si="31"/>
        <v>2129126</v>
      </c>
      <c r="AC31" s="27">
        <v>5834</v>
      </c>
      <c r="AD31" s="27">
        <v>0</v>
      </c>
      <c r="AE31" s="27">
        <f t="shared" si="29"/>
        <v>5834</v>
      </c>
      <c r="AF31" s="27">
        <v>0</v>
      </c>
      <c r="AG31" s="27">
        <f>4169+12614</f>
        <v>16783</v>
      </c>
      <c r="AH31" s="27">
        <f>3961+10752</f>
        <v>14713</v>
      </c>
      <c r="AI31" s="27">
        <f>8852+0</f>
        <v>8852</v>
      </c>
      <c r="AJ31" s="50" t="s">
        <v>274</v>
      </c>
      <c r="AK31" s="39">
        <f>0+0</f>
        <v>0</v>
      </c>
      <c r="AL31" s="39">
        <f>34753+93484</f>
        <v>128237</v>
      </c>
      <c r="AM31" s="39">
        <f t="shared" si="34"/>
        <v>128237</v>
      </c>
      <c r="AN31" s="40">
        <f t="shared" si="32"/>
        <v>0</v>
      </c>
      <c r="AO31" s="40">
        <v>3.5000000000000003E-2</v>
      </c>
      <c r="AP31" s="50" t="s">
        <v>275</v>
      </c>
      <c r="AQ31" s="27">
        <f t="shared" ref="AQ31:AR31" si="35">161804+34044</f>
        <v>195848</v>
      </c>
      <c r="AR31" s="27">
        <f t="shared" si="35"/>
        <v>195848</v>
      </c>
      <c r="AS31" s="27">
        <v>0</v>
      </c>
      <c r="AT31" s="27">
        <v>0</v>
      </c>
      <c r="AU31" s="27">
        <v>0</v>
      </c>
      <c r="AV31" s="27">
        <v>221734</v>
      </c>
      <c r="AW31" s="27">
        <v>1889100</v>
      </c>
      <c r="AX31" s="27">
        <f t="shared" si="5"/>
        <v>2110834</v>
      </c>
      <c r="AY31" s="27">
        <v>5259</v>
      </c>
      <c r="AZ31" s="27">
        <v>289255</v>
      </c>
      <c r="BA31" s="27">
        <v>1417414</v>
      </c>
      <c r="BB31" s="27">
        <v>389001</v>
      </c>
      <c r="BC31" s="27">
        <v>1855031</v>
      </c>
      <c r="BD31" s="27">
        <f t="shared" si="6"/>
        <v>3955960</v>
      </c>
      <c r="BE31" s="29">
        <f t="shared" si="7"/>
        <v>1.3774812675404707E-2</v>
      </c>
      <c r="BF31" s="29">
        <f t="shared" si="8"/>
        <v>0.16982715369190304</v>
      </c>
      <c r="BG31" s="29">
        <f t="shared" si="9"/>
        <v>9.0944513770522289E-2</v>
      </c>
      <c r="BH31" s="42">
        <f>VLOOKUP(B31,Unemployment!$A$2:$F$193,6,0)</f>
        <v>-0.29999999999999982</v>
      </c>
      <c r="BI31" s="29">
        <f>VLOOKUP(B31,Zillow!$C$11:$R$193,16,0)</f>
        <v>3.5062089116143169E-2</v>
      </c>
      <c r="BJ31" s="5"/>
      <c r="BK31" s="6">
        <v>10</v>
      </c>
      <c r="BL31" s="6">
        <v>40</v>
      </c>
      <c r="BM31" s="6">
        <v>30</v>
      </c>
      <c r="BN31" s="6">
        <v>10</v>
      </c>
      <c r="BO31" s="6">
        <v>10</v>
      </c>
      <c r="BP31" s="5"/>
      <c r="BQ31" s="43">
        <v>0.2</v>
      </c>
      <c r="BR31" s="43">
        <v>0.02</v>
      </c>
      <c r="BS31" s="43">
        <v>2.2000000000000002</v>
      </c>
      <c r="BT31" s="44">
        <v>0.02</v>
      </c>
      <c r="BU31" s="43">
        <v>-7.0000000000000007E-2</v>
      </c>
      <c r="BV31" s="5"/>
      <c r="BW31" s="43">
        <v>0.05</v>
      </c>
      <c r="BX31" s="43">
        <v>0.32</v>
      </c>
      <c r="BY31" s="43">
        <v>0.4</v>
      </c>
      <c r="BZ31" s="44">
        <v>0</v>
      </c>
      <c r="CA31" s="43">
        <v>0.03</v>
      </c>
      <c r="CB31" s="5"/>
      <c r="CC31" s="45">
        <f t="shared" si="10"/>
        <v>-1.5000000000000003E-2</v>
      </c>
      <c r="CD31" s="45">
        <f t="shared" si="11"/>
        <v>7.4999999999999997E-3</v>
      </c>
      <c r="CE31" s="45">
        <f t="shared" si="12"/>
        <v>-6.0000000000000012E-2</v>
      </c>
      <c r="CF31" s="46">
        <f t="shared" si="13"/>
        <v>-2E-3</v>
      </c>
      <c r="CG31" s="45">
        <f t="shared" si="14"/>
        <v>0.01</v>
      </c>
      <c r="CH31" s="5"/>
      <c r="CI31" s="44">
        <f t="shared" si="15"/>
        <v>10</v>
      </c>
      <c r="CJ31" s="44">
        <f t="shared" si="16"/>
        <v>19.976953825587074</v>
      </c>
      <c r="CK31" s="44">
        <f t="shared" si="17"/>
        <v>30</v>
      </c>
      <c r="CL31" s="44">
        <f t="shared" si="18"/>
        <v>10</v>
      </c>
      <c r="CM31" s="44">
        <f t="shared" si="19"/>
        <v>10</v>
      </c>
      <c r="CN31" s="47">
        <f t="shared" si="20"/>
        <v>0</v>
      </c>
      <c r="CO31" s="5"/>
      <c r="CP31" s="47">
        <f t="shared" si="21"/>
        <v>2.1274812675404708E-2</v>
      </c>
      <c r="CQ31" s="47">
        <f t="shared" si="22"/>
        <v>7.3827153691903055E-2</v>
      </c>
      <c r="CR31" s="47">
        <f t="shared" si="23"/>
        <v>0.81094451377052246</v>
      </c>
      <c r="CS31" s="47">
        <f t="shared" si="24"/>
        <v>0.29999999999999982</v>
      </c>
      <c r="CT31" s="47">
        <f t="shared" si="25"/>
        <v>3.2062089116143166E-2</v>
      </c>
      <c r="CU31" s="47">
        <f t="shared" si="26"/>
        <v>1.2381085692539733</v>
      </c>
    </row>
    <row r="32" spans="1:99" ht="15" customHeight="1">
      <c r="A32" s="5"/>
      <c r="B32" s="37" t="s">
        <v>38</v>
      </c>
      <c r="C32" s="37" t="s">
        <v>252</v>
      </c>
      <c r="D32" s="37" t="s">
        <v>255</v>
      </c>
      <c r="E32" s="26">
        <v>42551</v>
      </c>
      <c r="F32" s="38">
        <f t="shared" si="2"/>
        <v>64.877047011187116</v>
      </c>
      <c r="G32" s="4">
        <f>140032673-58698423-62106959</f>
        <v>19227291</v>
      </c>
      <c r="H32" s="4">
        <f>89251150-67352996-2607830</f>
        <v>19290324</v>
      </c>
      <c r="I32" s="4">
        <v>140032673</v>
      </c>
      <c r="J32" s="4">
        <v>50338116</v>
      </c>
      <c r="K32" s="4">
        <v>-11289980</v>
      </c>
      <c r="L32" s="4">
        <v>41305439</v>
      </c>
      <c r="M32" s="4">
        <v>15433658</v>
      </c>
      <c r="N32" s="4">
        <v>1333337</v>
      </c>
      <c r="O32" s="4">
        <v>12433061</v>
      </c>
      <c r="P32" s="4">
        <f t="shared" si="30"/>
        <v>70505495</v>
      </c>
      <c r="Q32" s="4">
        <v>58339375</v>
      </c>
      <c r="R32" s="4">
        <v>12166120</v>
      </c>
      <c r="S32" s="27">
        <v>53224618</v>
      </c>
      <c r="T32" s="27">
        <v>52496777</v>
      </c>
      <c r="U32" s="27">
        <v>68545766</v>
      </c>
      <c r="V32" s="27">
        <v>92654963</v>
      </c>
      <c r="W32" s="27">
        <v>-394337</v>
      </c>
      <c r="X32" s="27">
        <v>2607830</v>
      </c>
      <c r="Y32" s="27">
        <v>11844095</v>
      </c>
      <c r="Z32" s="27">
        <v>3277371</v>
      </c>
      <c r="AA32" s="27">
        <f>69960826-SUM(X32:Z32)</f>
        <v>52231530</v>
      </c>
      <c r="AB32" s="27">
        <f t="shared" si="31"/>
        <v>69960826</v>
      </c>
      <c r="AC32" s="27">
        <f>2773871+503500</f>
        <v>3277371</v>
      </c>
      <c r="AD32" s="27">
        <v>0</v>
      </c>
      <c r="AE32" s="27">
        <f t="shared" si="29"/>
        <v>3277371</v>
      </c>
      <c r="AF32" s="27">
        <v>0</v>
      </c>
      <c r="AG32" s="27">
        <f>752499+172700</f>
        <v>925199</v>
      </c>
      <c r="AH32" s="27">
        <f>744896+165800</f>
        <v>910696</v>
      </c>
      <c r="AI32" s="27">
        <f>251799+104300</f>
        <v>356099</v>
      </c>
      <c r="AJ32" s="50" t="s">
        <v>276</v>
      </c>
      <c r="AK32" s="39">
        <v>0</v>
      </c>
      <c r="AL32" s="39">
        <f>8150872+2254800</f>
        <v>10405672</v>
      </c>
      <c r="AM32" s="39">
        <f t="shared" si="34"/>
        <v>10405672</v>
      </c>
      <c r="AN32" s="40">
        <f t="shared" si="32"/>
        <v>0</v>
      </c>
      <c r="AO32" s="49"/>
      <c r="AP32" s="40"/>
      <c r="AQ32" s="27">
        <f t="shared" ref="AQ32:AR32" si="36">904253+348370+404001</f>
        <v>1656624</v>
      </c>
      <c r="AR32" s="27">
        <f t="shared" si="36"/>
        <v>1656624</v>
      </c>
      <c r="AS32" s="27">
        <v>7275</v>
      </c>
      <c r="AT32" s="27">
        <v>0</v>
      </c>
      <c r="AU32" s="27">
        <v>350000</v>
      </c>
      <c r="AV32" s="27">
        <v>239252</v>
      </c>
      <c r="AW32" s="27">
        <v>6184081</v>
      </c>
      <c r="AX32" s="27">
        <f t="shared" si="5"/>
        <v>6780608</v>
      </c>
      <c r="AY32" s="27">
        <v>19226</v>
      </c>
      <c r="AZ32" s="27">
        <v>624768</v>
      </c>
      <c r="BA32" s="27">
        <v>499498</v>
      </c>
      <c r="BB32" s="27">
        <v>239252</v>
      </c>
      <c r="BC32" s="27">
        <v>-8357895</v>
      </c>
      <c r="BD32" s="27">
        <f t="shared" si="6"/>
        <v>-6975151</v>
      </c>
      <c r="BE32" s="29">
        <f t="shared" si="7"/>
        <v>2.3496381381337725E-2</v>
      </c>
      <c r="BF32" s="29">
        <f t="shared" si="8"/>
        <v>0.12916236743448078</v>
      </c>
      <c r="BG32" s="29">
        <f t="shared" si="9"/>
        <v>0.82428654674362611</v>
      </c>
      <c r="BH32" s="42">
        <f>VLOOKUP(B32,Unemployment!$A$2:$F$193,6,0)</f>
        <v>-0.70000000000000018</v>
      </c>
      <c r="BI32" s="29">
        <f>VLOOKUP(B32,Zillow!$C$11:$R$193,16,0)</f>
        <v>3.9350713231678961E-3</v>
      </c>
      <c r="BJ32" s="5"/>
      <c r="BK32" s="6">
        <v>10</v>
      </c>
      <c r="BL32" s="6">
        <v>40</v>
      </c>
      <c r="BM32" s="6">
        <v>30</v>
      </c>
      <c r="BN32" s="6">
        <v>10</v>
      </c>
      <c r="BO32" s="6">
        <v>10</v>
      </c>
      <c r="BP32" s="5"/>
      <c r="BQ32" s="43">
        <v>0.2</v>
      </c>
      <c r="BR32" s="43">
        <v>0.02</v>
      </c>
      <c r="BS32" s="43">
        <v>2.2000000000000002</v>
      </c>
      <c r="BT32" s="44">
        <v>0.02</v>
      </c>
      <c r="BU32" s="43">
        <v>-7.0000000000000007E-2</v>
      </c>
      <c r="BV32" s="5"/>
      <c r="BW32" s="43">
        <v>0.05</v>
      </c>
      <c r="BX32" s="43">
        <v>0.32</v>
      </c>
      <c r="BY32" s="43">
        <v>0.4</v>
      </c>
      <c r="BZ32" s="44">
        <v>0</v>
      </c>
      <c r="CA32" s="43">
        <v>0.03</v>
      </c>
      <c r="CB32" s="5"/>
      <c r="CC32" s="45">
        <f t="shared" si="10"/>
        <v>-1.5000000000000003E-2</v>
      </c>
      <c r="CD32" s="45">
        <f t="shared" si="11"/>
        <v>7.4999999999999997E-3</v>
      </c>
      <c r="CE32" s="45">
        <f t="shared" si="12"/>
        <v>-6.0000000000000012E-2</v>
      </c>
      <c r="CF32" s="46">
        <f t="shared" si="13"/>
        <v>-2E-3</v>
      </c>
      <c r="CG32" s="45">
        <f t="shared" si="14"/>
        <v>0.01</v>
      </c>
      <c r="CH32" s="5"/>
      <c r="CI32" s="44">
        <f t="shared" si="15"/>
        <v>10</v>
      </c>
      <c r="CJ32" s="44">
        <f t="shared" si="16"/>
        <v>14.554982324597438</v>
      </c>
      <c r="CK32" s="44">
        <f t="shared" si="17"/>
        <v>22.928557554272896</v>
      </c>
      <c r="CL32" s="44">
        <f t="shared" si="18"/>
        <v>10</v>
      </c>
      <c r="CM32" s="44">
        <f t="shared" si="19"/>
        <v>7.39350713231679</v>
      </c>
      <c r="CN32" s="47">
        <f t="shared" si="20"/>
        <v>0</v>
      </c>
      <c r="CO32" s="5"/>
      <c r="CP32" s="47">
        <f t="shared" si="21"/>
        <v>3.0996381381337729E-2</v>
      </c>
      <c r="CQ32" s="47">
        <f t="shared" si="22"/>
        <v>3.3162367434480797E-2</v>
      </c>
      <c r="CR32" s="47">
        <f t="shared" si="23"/>
        <v>1.5442865467436264</v>
      </c>
      <c r="CS32" s="47">
        <f t="shared" si="24"/>
        <v>0.70000000000000018</v>
      </c>
      <c r="CT32" s="47">
        <f t="shared" si="25"/>
        <v>9.3507132316789652E-4</v>
      </c>
      <c r="CU32" s="47">
        <f t="shared" si="26"/>
        <v>2.3093803668826132</v>
      </c>
    </row>
    <row r="33" spans="1:99" ht="15" customHeight="1">
      <c r="A33" s="5"/>
      <c r="B33" s="37" t="s">
        <v>69</v>
      </c>
      <c r="C33" s="37" t="s">
        <v>252</v>
      </c>
      <c r="D33" s="37" t="s">
        <v>255</v>
      </c>
      <c r="E33" s="26">
        <v>42551</v>
      </c>
      <c r="F33" s="38">
        <f t="shared" si="2"/>
        <v>70.517159263078113</v>
      </c>
      <c r="G33" s="4">
        <f>97677588-73275886-3497379</f>
        <v>20904323</v>
      </c>
      <c r="H33" s="4">
        <f>25271875-18718387-2373724</f>
        <v>4179764</v>
      </c>
      <c r="I33" s="4">
        <v>97677588</v>
      </c>
      <c r="J33" s="4">
        <v>72732104</v>
      </c>
      <c r="K33" s="4">
        <v>8737423</v>
      </c>
      <c r="L33" s="4">
        <v>38019999</v>
      </c>
      <c r="M33" s="4">
        <v>1130875</v>
      </c>
      <c r="N33" s="4">
        <v>4610117</v>
      </c>
      <c r="O33" s="4">
        <v>21164622</v>
      </c>
      <c r="P33" s="4">
        <f t="shared" si="30"/>
        <v>64925613</v>
      </c>
      <c r="Q33" s="4">
        <v>65157900</v>
      </c>
      <c r="R33" s="4">
        <v>-232287</v>
      </c>
      <c r="S33" s="27">
        <v>58880023</v>
      </c>
      <c r="T33" s="27">
        <v>56640623</v>
      </c>
      <c r="U33" s="27">
        <v>63885741</v>
      </c>
      <c r="V33" s="27">
        <v>62722936</v>
      </c>
      <c r="W33" s="27">
        <v>946850</v>
      </c>
      <c r="X33" s="27">
        <f>2255064+118660</f>
        <v>2373724</v>
      </c>
      <c r="Y33" s="27">
        <v>531828</v>
      </c>
      <c r="Z33" s="27">
        <v>2329807</v>
      </c>
      <c r="AA33" s="27">
        <f>19475355+1616756-SUM(X33:Z33)</f>
        <v>15856752</v>
      </c>
      <c r="AB33" s="27">
        <f t="shared" si="31"/>
        <v>21092111</v>
      </c>
      <c r="AC33" s="27">
        <v>2329807</v>
      </c>
      <c r="AD33" s="27">
        <v>0</v>
      </c>
      <c r="AE33" s="27">
        <f t="shared" si="29"/>
        <v>2329807</v>
      </c>
      <c r="AF33" s="27">
        <v>0</v>
      </c>
      <c r="AG33" s="27">
        <v>594221</v>
      </c>
      <c r="AH33" s="27">
        <v>584000</v>
      </c>
      <c r="AI33" s="27">
        <v>213180</v>
      </c>
      <c r="AJ33" s="50" t="s">
        <v>260</v>
      </c>
      <c r="AK33" s="39">
        <v>0</v>
      </c>
      <c r="AL33" s="39">
        <v>6178930</v>
      </c>
      <c r="AM33" s="39">
        <f t="shared" si="34"/>
        <v>6178930</v>
      </c>
      <c r="AN33" s="40">
        <f t="shared" si="32"/>
        <v>0</v>
      </c>
      <c r="AO33" s="40">
        <v>0.04</v>
      </c>
      <c r="AP33" s="40"/>
      <c r="AQ33" s="27">
        <v>119514</v>
      </c>
      <c r="AR33" s="27">
        <v>105755</v>
      </c>
      <c r="AS33" s="27">
        <v>37820</v>
      </c>
      <c r="AT33" s="27">
        <v>0</v>
      </c>
      <c r="AU33" s="27">
        <v>418455</v>
      </c>
      <c r="AV33" s="27">
        <v>502848</v>
      </c>
      <c r="AW33" s="27">
        <v>5711933</v>
      </c>
      <c r="AX33" s="27">
        <f t="shared" si="5"/>
        <v>6671056</v>
      </c>
      <c r="AY33" s="27">
        <v>45063</v>
      </c>
      <c r="AZ33" s="27">
        <v>1531221</v>
      </c>
      <c r="BA33" s="27">
        <v>5225594</v>
      </c>
      <c r="BB33" s="27">
        <v>502848</v>
      </c>
      <c r="BC33" s="27">
        <v>5151110</v>
      </c>
      <c r="BD33" s="27">
        <f t="shared" si="6"/>
        <v>12455836</v>
      </c>
      <c r="BE33" s="29">
        <f t="shared" si="7"/>
        <v>1.8407835440845202E-3</v>
      </c>
      <c r="BF33" s="29">
        <f t="shared" si="8"/>
        <v>0.11777864802087364</v>
      </c>
      <c r="BG33" s="29">
        <f t="shared" si="9"/>
        <v>0.31667445327008309</v>
      </c>
      <c r="BH33" s="42">
        <f>VLOOKUP(B33,Unemployment!$A$2:$F$193,6,0)</f>
        <v>-0.40000000000000036</v>
      </c>
      <c r="BI33" s="52">
        <f>VLOOKUP(VLOOKUP(B33,Counties!$A$20:$E$189,2,0),Zillow!$C$3:$R$10,16,0)</f>
        <v>4.8000619362829587E-3</v>
      </c>
      <c r="BJ33" s="5"/>
      <c r="BK33" s="6">
        <v>10</v>
      </c>
      <c r="BL33" s="6">
        <v>40</v>
      </c>
      <c r="BM33" s="6">
        <v>30</v>
      </c>
      <c r="BN33" s="6">
        <v>10</v>
      </c>
      <c r="BO33" s="6">
        <v>10</v>
      </c>
      <c r="BP33" s="5"/>
      <c r="BQ33" s="43">
        <v>0.2</v>
      </c>
      <c r="BR33" s="43">
        <v>0.02</v>
      </c>
      <c r="BS33" s="43">
        <v>2.2000000000000002</v>
      </c>
      <c r="BT33" s="44">
        <v>0.02</v>
      </c>
      <c r="BU33" s="43">
        <v>-7.0000000000000007E-2</v>
      </c>
      <c r="BV33" s="5"/>
      <c r="BW33" s="43">
        <v>0.05</v>
      </c>
      <c r="BX33" s="43">
        <v>0.32</v>
      </c>
      <c r="BY33" s="43">
        <v>0.4</v>
      </c>
      <c r="BZ33" s="44">
        <v>0</v>
      </c>
      <c r="CA33" s="43">
        <v>0.03</v>
      </c>
      <c r="CB33" s="5"/>
      <c r="CC33" s="45">
        <f t="shared" si="10"/>
        <v>-1.5000000000000003E-2</v>
      </c>
      <c r="CD33" s="45">
        <f t="shared" si="11"/>
        <v>7.4999999999999997E-3</v>
      </c>
      <c r="CE33" s="45">
        <f t="shared" si="12"/>
        <v>-6.0000000000000012E-2</v>
      </c>
      <c r="CF33" s="46">
        <f t="shared" si="13"/>
        <v>-2E-3</v>
      </c>
      <c r="CG33" s="45">
        <f t="shared" si="14"/>
        <v>0.01</v>
      </c>
      <c r="CH33" s="5"/>
      <c r="CI33" s="44">
        <f t="shared" si="15"/>
        <v>10</v>
      </c>
      <c r="CJ33" s="44">
        <f t="shared" si="16"/>
        <v>13.037153069449818</v>
      </c>
      <c r="CK33" s="44">
        <f t="shared" si="17"/>
        <v>30</v>
      </c>
      <c r="CL33" s="44">
        <f t="shared" si="18"/>
        <v>10</v>
      </c>
      <c r="CM33" s="44">
        <f t="shared" si="19"/>
        <v>7.4800061936282969</v>
      </c>
      <c r="CN33" s="47">
        <f t="shared" si="20"/>
        <v>0</v>
      </c>
      <c r="CO33" s="5"/>
      <c r="CP33" s="47">
        <f t="shared" si="21"/>
        <v>9.3407835440845223E-3</v>
      </c>
      <c r="CQ33" s="47">
        <f t="shared" si="22"/>
        <v>2.1778648020873648E-2</v>
      </c>
      <c r="CR33" s="47">
        <f t="shared" si="23"/>
        <v>1.0366744532700833</v>
      </c>
      <c r="CS33" s="47">
        <f t="shared" si="24"/>
        <v>0.40000000000000036</v>
      </c>
      <c r="CT33" s="47">
        <f t="shared" si="25"/>
        <v>1.8000619362829591E-3</v>
      </c>
      <c r="CU33" s="47">
        <f t="shared" si="26"/>
        <v>1.4695939467713248</v>
      </c>
    </row>
    <row r="34" spans="1:99" ht="15" customHeight="1">
      <c r="A34" s="5"/>
      <c r="B34" s="37" t="s">
        <v>121</v>
      </c>
      <c r="C34" s="37" t="s">
        <v>252</v>
      </c>
      <c r="D34" s="37" t="s">
        <v>255</v>
      </c>
      <c r="E34" s="26">
        <v>42551</v>
      </c>
      <c r="F34" s="38">
        <f t="shared" si="2"/>
        <v>77.630345899126297</v>
      </c>
      <c r="G34" s="4">
        <v>1893970</v>
      </c>
      <c r="H34" s="4">
        <v>336408</v>
      </c>
      <c r="I34" s="4">
        <v>10419418</v>
      </c>
      <c r="J34" s="4">
        <v>9559525</v>
      </c>
      <c r="K34" s="4">
        <v>1316756</v>
      </c>
      <c r="L34" s="4">
        <v>4920556</v>
      </c>
      <c r="M34" s="4">
        <v>454972</v>
      </c>
      <c r="N34" s="4">
        <v>138073</v>
      </c>
      <c r="O34" s="4">
        <v>939383</v>
      </c>
      <c r="P34" s="4">
        <v>6452984</v>
      </c>
      <c r="Q34" s="4">
        <v>6157780</v>
      </c>
      <c r="R34" s="4">
        <v>295204</v>
      </c>
      <c r="S34" s="27">
        <v>5877067</v>
      </c>
      <c r="T34" s="27">
        <v>5615722</v>
      </c>
      <c r="U34" s="27">
        <v>6399038</v>
      </c>
      <c r="V34" s="27">
        <v>6408759</v>
      </c>
      <c r="W34" s="27">
        <v>-186655</v>
      </c>
      <c r="X34" s="27">
        <v>50000</v>
      </c>
      <c r="Y34" s="27">
        <v>0</v>
      </c>
      <c r="Z34" s="27">
        <v>123485</v>
      </c>
      <c r="AA34" s="27">
        <v>350000</v>
      </c>
      <c r="AB34" s="27">
        <v>523485</v>
      </c>
      <c r="AC34" s="27">
        <v>123485</v>
      </c>
      <c r="AD34" s="27">
        <v>0</v>
      </c>
      <c r="AE34" s="27">
        <v>0</v>
      </c>
      <c r="AF34" s="27">
        <v>0</v>
      </c>
      <c r="AG34" s="27">
        <v>15226</v>
      </c>
      <c r="AH34" s="27">
        <v>0</v>
      </c>
      <c r="AI34" s="27">
        <v>0</v>
      </c>
      <c r="AJ34" s="26">
        <v>42186</v>
      </c>
      <c r="AK34" s="39">
        <v>0</v>
      </c>
      <c r="AL34" s="39">
        <v>123485</v>
      </c>
      <c r="AM34" s="39">
        <f t="shared" si="34"/>
        <v>123485</v>
      </c>
      <c r="AN34" s="40">
        <f t="shared" si="32"/>
        <v>0</v>
      </c>
      <c r="AO34" s="40"/>
      <c r="AP34" s="40"/>
      <c r="AQ34" s="27">
        <v>0</v>
      </c>
      <c r="AR34" s="27">
        <v>0</v>
      </c>
      <c r="AS34" s="27">
        <v>0</v>
      </c>
      <c r="AT34" s="27">
        <v>0</v>
      </c>
      <c r="AU34" s="27">
        <v>0</v>
      </c>
      <c r="AV34" s="27">
        <v>0</v>
      </c>
      <c r="AW34" s="27">
        <v>1276047</v>
      </c>
      <c r="AX34" s="27">
        <v>1276047</v>
      </c>
      <c r="AY34" s="27">
        <v>1168</v>
      </c>
      <c r="AZ34" s="27">
        <v>106965</v>
      </c>
      <c r="BA34" s="27">
        <v>37302</v>
      </c>
      <c r="BB34" s="27">
        <v>0</v>
      </c>
      <c r="BC34" s="27">
        <v>1260965</v>
      </c>
      <c r="BD34" s="27">
        <v>1406400</v>
      </c>
      <c r="BE34" s="29">
        <f t="shared" si="7"/>
        <v>0</v>
      </c>
      <c r="BF34" s="29">
        <f t="shared" si="8"/>
        <v>0.22722759424344724</v>
      </c>
      <c r="BG34" s="29">
        <f t="shared" si="9"/>
        <v>8.1122934753906098E-2</v>
      </c>
      <c r="BH34" s="42">
        <f>VLOOKUP(B34,Unemployment!$A$2:$F$193,6,0)</f>
        <v>9.9999999999999645E-2</v>
      </c>
      <c r="BI34" s="29">
        <f>VLOOKUP(B34,Zillow!$C$11:$R$193,16,0)</f>
        <v>7.5628399235631333E-2</v>
      </c>
      <c r="BJ34" s="5"/>
      <c r="BK34" s="6">
        <v>10</v>
      </c>
      <c r="BL34" s="6">
        <v>40</v>
      </c>
      <c r="BM34" s="6">
        <v>30</v>
      </c>
      <c r="BN34" s="6">
        <v>10</v>
      </c>
      <c r="BO34" s="6">
        <v>10</v>
      </c>
      <c r="BP34" s="5"/>
      <c r="BQ34" s="43">
        <v>0.2</v>
      </c>
      <c r="BR34" s="43">
        <v>0.02</v>
      </c>
      <c r="BS34" s="43">
        <v>2.2000000000000002</v>
      </c>
      <c r="BT34" s="44">
        <v>0.02</v>
      </c>
      <c r="BU34" s="43">
        <v>-7.0000000000000007E-2</v>
      </c>
      <c r="BV34" s="5"/>
      <c r="BW34" s="43">
        <v>0.05</v>
      </c>
      <c r="BX34" s="43">
        <v>0.32</v>
      </c>
      <c r="BY34" s="43">
        <v>0.4</v>
      </c>
      <c r="BZ34" s="44">
        <v>0</v>
      </c>
      <c r="CA34" s="43">
        <v>0.03</v>
      </c>
      <c r="CB34" s="5"/>
      <c r="CC34" s="45">
        <f t="shared" si="10"/>
        <v>-1.5000000000000003E-2</v>
      </c>
      <c r="CD34" s="45">
        <f t="shared" si="11"/>
        <v>7.4999999999999997E-3</v>
      </c>
      <c r="CE34" s="45">
        <f t="shared" si="12"/>
        <v>-6.0000000000000012E-2</v>
      </c>
      <c r="CF34" s="46">
        <f t="shared" si="13"/>
        <v>-2E-3</v>
      </c>
      <c r="CG34" s="45">
        <f t="shared" si="14"/>
        <v>0.01</v>
      </c>
      <c r="CH34" s="5"/>
      <c r="CI34" s="44">
        <f t="shared" si="15"/>
        <v>10</v>
      </c>
      <c r="CJ34" s="44">
        <f t="shared" si="16"/>
        <v>27.630345899126301</v>
      </c>
      <c r="CK34" s="44">
        <f t="shared" si="17"/>
        <v>30</v>
      </c>
      <c r="CL34" s="44">
        <f t="shared" si="18"/>
        <v>0</v>
      </c>
      <c r="CM34" s="44">
        <f t="shared" si="19"/>
        <v>10</v>
      </c>
      <c r="CN34" s="47">
        <f t="shared" si="20"/>
        <v>0</v>
      </c>
      <c r="CO34" s="5"/>
      <c r="CP34" s="47">
        <f t="shared" si="21"/>
        <v>7.5000000000000023E-3</v>
      </c>
      <c r="CQ34" s="47">
        <f t="shared" si="22"/>
        <v>0.13122759424344727</v>
      </c>
      <c r="CR34" s="47">
        <f t="shared" si="23"/>
        <v>0.80112293475390628</v>
      </c>
      <c r="CS34" s="47">
        <f t="shared" si="24"/>
        <v>9.9999999999999645E-2</v>
      </c>
      <c r="CT34" s="47">
        <f t="shared" si="25"/>
        <v>7.262839923563133E-2</v>
      </c>
      <c r="CU34" s="47">
        <f t="shared" si="26"/>
        <v>1.1124789282329846</v>
      </c>
    </row>
    <row r="35" spans="1:99" ht="15" customHeight="1">
      <c r="A35" s="5"/>
      <c r="B35" s="37" t="s">
        <v>146</v>
      </c>
      <c r="C35" s="37" t="s">
        <v>252</v>
      </c>
      <c r="D35" s="37" t="s">
        <v>255</v>
      </c>
      <c r="E35" s="26">
        <v>42551</v>
      </c>
      <c r="F35" s="38">
        <f t="shared" si="2"/>
        <v>83.390313033721213</v>
      </c>
      <c r="G35" s="4">
        <v>6838651</v>
      </c>
      <c r="H35" s="4">
        <v>1317173</v>
      </c>
      <c r="I35" s="4">
        <v>22614173</v>
      </c>
      <c r="J35" s="4">
        <v>20283474</v>
      </c>
      <c r="K35" s="4">
        <v>4917351</v>
      </c>
      <c r="L35" s="4">
        <v>12992779</v>
      </c>
      <c r="M35" s="4">
        <v>670125</v>
      </c>
      <c r="N35" s="4">
        <v>451700</v>
      </c>
      <c r="O35" s="4">
        <v>4504902</v>
      </c>
      <c r="P35" s="4">
        <v>18619506</v>
      </c>
      <c r="Q35" s="4">
        <v>18281121</v>
      </c>
      <c r="R35" s="4">
        <v>338403</v>
      </c>
      <c r="S35" s="27">
        <v>17979505</v>
      </c>
      <c r="T35" s="27">
        <v>16875846</v>
      </c>
      <c r="U35" s="27">
        <v>18695456</v>
      </c>
      <c r="V35" s="27">
        <v>19102658</v>
      </c>
      <c r="W35" s="27">
        <v>1075675</v>
      </c>
      <c r="X35" s="27">
        <v>200582</v>
      </c>
      <c r="Y35" s="27">
        <v>0</v>
      </c>
      <c r="Z35" s="27">
        <v>260900</v>
      </c>
      <c r="AA35" s="27">
        <v>752626</v>
      </c>
      <c r="AB35" s="27">
        <v>1214108</v>
      </c>
      <c r="AC35" s="27">
        <v>260900</v>
      </c>
      <c r="AD35" s="27">
        <v>0</v>
      </c>
      <c r="AE35" s="27">
        <v>260900</v>
      </c>
      <c r="AF35" s="27">
        <v>0</v>
      </c>
      <c r="AG35" s="27">
        <v>53600</v>
      </c>
      <c r="AH35" s="27">
        <v>49900</v>
      </c>
      <c r="AI35" s="27">
        <v>26400</v>
      </c>
      <c r="AJ35" s="26">
        <v>42186</v>
      </c>
      <c r="AK35" s="39">
        <v>0</v>
      </c>
      <c r="AL35" s="39">
        <v>568600</v>
      </c>
      <c r="AM35" s="39">
        <f t="shared" si="34"/>
        <v>568600</v>
      </c>
      <c r="AN35" s="40">
        <f t="shared" si="32"/>
        <v>0</v>
      </c>
      <c r="AO35" s="40">
        <v>3.7499999999999999E-2</v>
      </c>
      <c r="AP35" s="40">
        <v>0.05</v>
      </c>
      <c r="AQ35" s="27">
        <v>0</v>
      </c>
      <c r="AR35" s="27">
        <v>0</v>
      </c>
      <c r="AS35" s="27">
        <v>37156</v>
      </c>
      <c r="AT35" s="27">
        <v>0</v>
      </c>
      <c r="AU35" s="27">
        <v>0</v>
      </c>
      <c r="AV35" s="27">
        <v>400000</v>
      </c>
      <c r="AW35" s="27">
        <v>3172799</v>
      </c>
      <c r="AX35" s="27">
        <v>3609955</v>
      </c>
      <c r="AY35" s="27">
        <v>26340</v>
      </c>
      <c r="AZ35" s="27">
        <v>472619</v>
      </c>
      <c r="BA35" s="27">
        <v>1766425</v>
      </c>
      <c r="BB35" s="27">
        <v>234278</v>
      </c>
      <c r="BC35" s="27">
        <v>3330869</v>
      </c>
      <c r="BD35" s="27">
        <v>5830531</v>
      </c>
      <c r="BE35" s="29">
        <f t="shared" si="7"/>
        <v>0</v>
      </c>
      <c r="BF35" s="29">
        <f t="shared" si="8"/>
        <v>0.21391253511083236</v>
      </c>
      <c r="BG35" s="29">
        <f t="shared" si="9"/>
        <v>6.520624123969776E-2</v>
      </c>
      <c r="BH35" s="42">
        <f>VLOOKUP(B35,Unemployment!$A$2:$F$193,6,0)</f>
        <v>-0.70000000000000018</v>
      </c>
      <c r="BI35" s="29">
        <f>VLOOKUP(B35,Zillow!$C$11:$R$193,16,0)</f>
        <v>5.3530835227690232E-3</v>
      </c>
      <c r="BJ35" s="5"/>
      <c r="BK35" s="6">
        <v>10</v>
      </c>
      <c r="BL35" s="6">
        <v>40</v>
      </c>
      <c r="BM35" s="6">
        <v>30</v>
      </c>
      <c r="BN35" s="6">
        <v>10</v>
      </c>
      <c r="BO35" s="6">
        <v>10</v>
      </c>
      <c r="BP35" s="5"/>
      <c r="BQ35" s="43">
        <v>0.2</v>
      </c>
      <c r="BR35" s="43">
        <v>0.02</v>
      </c>
      <c r="BS35" s="43">
        <v>2.2000000000000002</v>
      </c>
      <c r="BT35" s="44">
        <v>0.02</v>
      </c>
      <c r="BU35" s="43">
        <v>-7.0000000000000007E-2</v>
      </c>
      <c r="BV35" s="5"/>
      <c r="BW35" s="43">
        <v>0.05</v>
      </c>
      <c r="BX35" s="43">
        <v>0.32</v>
      </c>
      <c r="BY35" s="43">
        <v>0.4</v>
      </c>
      <c r="BZ35" s="44">
        <v>0</v>
      </c>
      <c r="CA35" s="43">
        <v>0.03</v>
      </c>
      <c r="CB35" s="5"/>
      <c r="CC35" s="45">
        <f t="shared" si="10"/>
        <v>-1.5000000000000003E-2</v>
      </c>
      <c r="CD35" s="45">
        <f t="shared" si="11"/>
        <v>7.4999999999999997E-3</v>
      </c>
      <c r="CE35" s="45">
        <f t="shared" si="12"/>
        <v>-6.0000000000000012E-2</v>
      </c>
      <c r="CF35" s="46">
        <f t="shared" si="13"/>
        <v>-2E-3</v>
      </c>
      <c r="CG35" s="45">
        <f t="shared" si="14"/>
        <v>0.01</v>
      </c>
      <c r="CH35" s="5"/>
      <c r="CI35" s="44">
        <f t="shared" si="15"/>
        <v>10</v>
      </c>
      <c r="CJ35" s="44">
        <f t="shared" si="16"/>
        <v>25.855004681444317</v>
      </c>
      <c r="CK35" s="44">
        <f t="shared" si="17"/>
        <v>30</v>
      </c>
      <c r="CL35" s="44">
        <f t="shared" si="18"/>
        <v>10</v>
      </c>
      <c r="CM35" s="44">
        <f t="shared" si="19"/>
        <v>7.5353083522769024</v>
      </c>
      <c r="CN35" s="47">
        <f t="shared" si="20"/>
        <v>0</v>
      </c>
      <c r="CO35" s="5"/>
      <c r="CP35" s="47">
        <f t="shared" si="21"/>
        <v>7.5000000000000023E-3</v>
      </c>
      <c r="CQ35" s="47">
        <f t="shared" si="22"/>
        <v>0.11791253511083237</v>
      </c>
      <c r="CR35" s="47">
        <f t="shared" si="23"/>
        <v>0.78520624123969796</v>
      </c>
      <c r="CS35" s="47">
        <f t="shared" si="24"/>
        <v>0.70000000000000018</v>
      </c>
      <c r="CT35" s="47">
        <f t="shared" si="25"/>
        <v>2.3530835227690236E-3</v>
      </c>
      <c r="CU35" s="47">
        <f t="shared" si="26"/>
        <v>1.6129718598732996</v>
      </c>
    </row>
    <row r="36" spans="1:99" ht="15" customHeight="1">
      <c r="A36" s="5"/>
      <c r="B36" s="37" t="s">
        <v>164</v>
      </c>
      <c r="C36" s="37" t="s">
        <v>252</v>
      </c>
      <c r="D36" s="37" t="s">
        <v>255</v>
      </c>
      <c r="E36" s="26">
        <v>42551</v>
      </c>
      <c r="F36" s="38">
        <f t="shared" si="2"/>
        <v>95.982649550516086</v>
      </c>
      <c r="G36" s="4">
        <f>10635336-6512414-671177</f>
        <v>3451745</v>
      </c>
      <c r="H36" s="4">
        <f>1600801-90998-1160000</f>
        <v>349803</v>
      </c>
      <c r="I36" s="4">
        <v>10635336</v>
      </c>
      <c r="J36" s="4">
        <v>9077868</v>
      </c>
      <c r="K36" s="4">
        <v>3227661</v>
      </c>
      <c r="L36" s="4">
        <v>6346311</v>
      </c>
      <c r="M36" s="4">
        <v>65241</v>
      </c>
      <c r="N36" s="4">
        <v>125588</v>
      </c>
      <c r="O36" s="4">
        <v>627744</v>
      </c>
      <c r="P36" s="4">
        <f>L36+M36+N36+O36</f>
        <v>7164884</v>
      </c>
      <c r="Q36" s="4">
        <v>6932601</v>
      </c>
      <c r="R36" s="4">
        <v>232283</v>
      </c>
      <c r="S36" s="27">
        <v>7091466</v>
      </c>
      <c r="T36" s="27">
        <v>6262565</v>
      </c>
      <c r="U36" s="27">
        <v>7224181</v>
      </c>
      <c r="V36" s="27">
        <v>6861713</v>
      </c>
      <c r="W36" s="27">
        <v>223055</v>
      </c>
      <c r="X36" s="27">
        <v>167387</v>
      </c>
      <c r="Y36" s="27">
        <v>0</v>
      </c>
      <c r="Z36" s="27">
        <v>0</v>
      </c>
      <c r="AA36" s="27">
        <f>1418385-167387</f>
        <v>1250998</v>
      </c>
      <c r="AB36" s="27">
        <f>SUM(X36:AA36)</f>
        <v>1418385</v>
      </c>
      <c r="AC36" s="27"/>
      <c r="AD36" s="27"/>
      <c r="AE36" s="27"/>
      <c r="AF36" s="27"/>
      <c r="AG36" s="27"/>
      <c r="AH36" s="27"/>
      <c r="AI36" s="27"/>
      <c r="AJ36" s="26"/>
      <c r="AK36" s="39"/>
      <c r="AL36" s="39"/>
      <c r="AM36" s="39"/>
      <c r="AN36" s="40"/>
      <c r="AO36" s="49"/>
      <c r="AP36" s="40"/>
      <c r="AQ36" s="27"/>
      <c r="AR36" s="27"/>
      <c r="AS36" s="27">
        <v>7984</v>
      </c>
      <c r="AT36" s="27">
        <v>0</v>
      </c>
      <c r="AU36" s="27">
        <v>0</v>
      </c>
      <c r="AV36" s="27">
        <v>476655</v>
      </c>
      <c r="AW36" s="27">
        <v>1661032</v>
      </c>
      <c r="AX36" s="27">
        <f>AS36+AT36+AU36+AV36+AW36</f>
        <v>2145671</v>
      </c>
      <c r="AY36" s="27">
        <v>37286</v>
      </c>
      <c r="AZ36" s="27">
        <v>25602</v>
      </c>
      <c r="BA36" s="27">
        <v>499313</v>
      </c>
      <c r="BB36" s="27">
        <v>486351</v>
      </c>
      <c r="BC36" s="27">
        <v>1449442</v>
      </c>
      <c r="BD36" s="27">
        <f>AY36+AZ36+BA36+BB36+BC36</f>
        <v>2497994</v>
      </c>
      <c r="BE36" s="29">
        <f t="shared" si="7"/>
        <v>0</v>
      </c>
      <c r="BF36" s="29">
        <f t="shared" si="8"/>
        <v>0.34261855964768428</v>
      </c>
      <c r="BG36" s="29">
        <f t="shared" si="9"/>
        <v>0.19796342829835067</v>
      </c>
      <c r="BH36" s="42">
        <f>VLOOKUP(B36,Unemployment!$A$2:$F$193,6,0)</f>
        <v>-0.5</v>
      </c>
      <c r="BI36" s="52">
        <f>VLOOKUP(VLOOKUP(B36,Counties!$A$20:$E$189,2,0),Zillow!$C$3:$R$10,16,0)</f>
        <v>-1.0173504494839088E-2</v>
      </c>
      <c r="BJ36" s="5"/>
      <c r="BK36" s="6">
        <v>10</v>
      </c>
      <c r="BL36" s="6">
        <v>40</v>
      </c>
      <c r="BM36" s="6">
        <v>30</v>
      </c>
      <c r="BN36" s="6">
        <v>10</v>
      </c>
      <c r="BO36" s="6">
        <v>10</v>
      </c>
      <c r="BP36" s="5"/>
      <c r="BQ36" s="43">
        <v>0.2</v>
      </c>
      <c r="BR36" s="43">
        <v>0.02</v>
      </c>
      <c r="BS36" s="43">
        <v>2.2000000000000002</v>
      </c>
      <c r="BT36" s="44">
        <v>0.02</v>
      </c>
      <c r="BU36" s="43">
        <v>-7.0000000000000007E-2</v>
      </c>
      <c r="BV36" s="5"/>
      <c r="BW36" s="43">
        <v>0.05</v>
      </c>
      <c r="BX36" s="43">
        <v>0.32</v>
      </c>
      <c r="BY36" s="43">
        <v>0.4</v>
      </c>
      <c r="BZ36" s="44">
        <v>0</v>
      </c>
      <c r="CA36" s="43">
        <v>0.03</v>
      </c>
      <c r="CB36" s="5"/>
      <c r="CC36" s="45">
        <f t="shared" si="10"/>
        <v>-1.5000000000000003E-2</v>
      </c>
      <c r="CD36" s="45">
        <f t="shared" si="11"/>
        <v>7.4999999999999997E-3</v>
      </c>
      <c r="CE36" s="45">
        <f t="shared" si="12"/>
        <v>-6.0000000000000012E-2</v>
      </c>
      <c r="CF36" s="46">
        <f t="shared" si="13"/>
        <v>-2E-3</v>
      </c>
      <c r="CG36" s="45">
        <f t="shared" si="14"/>
        <v>0.01</v>
      </c>
      <c r="CH36" s="5"/>
      <c r="CI36" s="44">
        <f t="shared" si="15"/>
        <v>10</v>
      </c>
      <c r="CJ36" s="44">
        <f t="shared" si="16"/>
        <v>40</v>
      </c>
      <c r="CK36" s="44">
        <f t="shared" si="17"/>
        <v>30</v>
      </c>
      <c r="CL36" s="44">
        <f t="shared" si="18"/>
        <v>10</v>
      </c>
      <c r="CM36" s="44">
        <f t="shared" si="19"/>
        <v>5.9826495505160917</v>
      </c>
      <c r="CN36" s="47">
        <f t="shared" si="20"/>
        <v>0</v>
      </c>
      <c r="CO36" s="5"/>
      <c r="CP36" s="47">
        <f t="shared" si="21"/>
        <v>7.5000000000000023E-3</v>
      </c>
      <c r="CQ36" s="47">
        <f t="shared" si="22"/>
        <v>0.24661855964768431</v>
      </c>
      <c r="CR36" s="47">
        <f t="shared" si="23"/>
        <v>0.91796342829835087</v>
      </c>
      <c r="CS36" s="47">
        <f t="shared" si="24"/>
        <v>0.5</v>
      </c>
      <c r="CT36" s="47">
        <f t="shared" si="25"/>
        <v>1.3173504494839087E-2</v>
      </c>
      <c r="CU36" s="47">
        <f t="shared" si="26"/>
        <v>1.6852554924408742</v>
      </c>
    </row>
    <row r="37" spans="1:99" ht="15" customHeight="1">
      <c r="A37" s="5"/>
      <c r="B37" s="37" t="s">
        <v>77</v>
      </c>
      <c r="C37" s="37" t="s">
        <v>252</v>
      </c>
      <c r="D37" s="37" t="s">
        <v>255</v>
      </c>
      <c r="E37" s="26">
        <v>42551</v>
      </c>
      <c r="F37" s="38">
        <f t="shared" si="2"/>
        <v>71.915446741242377</v>
      </c>
      <c r="G37" s="4">
        <f>140028231-115261795-3873279</f>
        <v>20893157</v>
      </c>
      <c r="H37" s="4">
        <f>30928639-26600647-2182926</f>
        <v>2145066</v>
      </c>
      <c r="I37" s="4">
        <v>140028231</v>
      </c>
      <c r="J37" s="4">
        <v>110941188</v>
      </c>
      <c r="K37" s="4">
        <v>12354787</v>
      </c>
      <c r="L37" s="4">
        <v>29834314</v>
      </c>
      <c r="M37" s="4">
        <v>3663969</v>
      </c>
      <c r="N37" s="4">
        <v>3555636</v>
      </c>
      <c r="O37" s="4">
        <v>14338686</v>
      </c>
      <c r="P37" s="4">
        <f>L37+M37+N37+O37</f>
        <v>51392605</v>
      </c>
      <c r="Q37" s="4">
        <v>50439540</v>
      </c>
      <c r="R37" s="4">
        <v>953065</v>
      </c>
      <c r="S37" s="27">
        <v>43067464</v>
      </c>
      <c r="T37" s="27">
        <v>42043589</v>
      </c>
      <c r="U37" s="27">
        <v>50327228</v>
      </c>
      <c r="V37" s="27">
        <v>51941239</v>
      </c>
      <c r="W37" s="27">
        <v>602383</v>
      </c>
      <c r="X37" s="27">
        <v>2182926</v>
      </c>
      <c r="Y37" s="27">
        <v>3415656</v>
      </c>
      <c r="Z37" s="27">
        <v>3490408</v>
      </c>
      <c r="AA37" s="27">
        <f>28783573-SUM(X37:Z37)</f>
        <v>19694583</v>
      </c>
      <c r="AB37" s="27">
        <f>SUM(X37:AA37)</f>
        <v>28783573</v>
      </c>
      <c r="AC37" s="27">
        <v>3490408</v>
      </c>
      <c r="AD37" s="27">
        <v>0</v>
      </c>
      <c r="AE37" s="27">
        <f>AC37+AD37</f>
        <v>3490408</v>
      </c>
      <c r="AF37" s="27">
        <v>0</v>
      </c>
      <c r="AG37" s="27">
        <v>594125</v>
      </c>
      <c r="AH37" s="27">
        <v>578103</v>
      </c>
      <c r="AI37" s="27">
        <v>158497</v>
      </c>
      <c r="AJ37" s="50" t="s">
        <v>259</v>
      </c>
      <c r="AK37" s="39">
        <v>0</v>
      </c>
      <c r="AL37" s="39">
        <v>5140000</v>
      </c>
      <c r="AM37" s="39">
        <v>5140000</v>
      </c>
      <c r="AN37" s="40">
        <f>AK37/AL37</f>
        <v>0</v>
      </c>
      <c r="AO37" s="40">
        <v>0.04</v>
      </c>
      <c r="AP37" s="50" t="s">
        <v>277</v>
      </c>
      <c r="AQ37" s="27">
        <v>565362</v>
      </c>
      <c r="AR37" s="27">
        <v>565362</v>
      </c>
      <c r="AS37" s="27">
        <v>417956</v>
      </c>
      <c r="AT37" s="27">
        <v>37845</v>
      </c>
      <c r="AU37" s="27">
        <v>0</v>
      </c>
      <c r="AV37" s="27">
        <v>728280</v>
      </c>
      <c r="AW37" s="27">
        <v>4814513</v>
      </c>
      <c r="AX37" s="27">
        <f>AS37+AT37+AU37+AV37+AW37</f>
        <v>5998594</v>
      </c>
      <c r="AY37" s="27">
        <v>448198</v>
      </c>
      <c r="AZ37" s="27">
        <v>2639929</v>
      </c>
      <c r="BA37" s="27">
        <v>1744138</v>
      </c>
      <c r="BB37" s="27">
        <v>728280</v>
      </c>
      <c r="BC37" s="27">
        <v>4817877</v>
      </c>
      <c r="BD37" s="27">
        <f>AY37+AZ37+BA37+BB37+BC37</f>
        <v>10378422</v>
      </c>
      <c r="BE37" s="29">
        <f t="shared" si="7"/>
        <v>1.1000843409280382E-2</v>
      </c>
      <c r="BF37" s="29">
        <f t="shared" si="8"/>
        <v>0.14267559318021114</v>
      </c>
      <c r="BG37" s="29">
        <f t="shared" si="9"/>
        <v>0.49361025774038891</v>
      </c>
      <c r="BH37" s="42">
        <f>VLOOKUP(B37,Unemployment!$A$2:$F$193,6,0)</f>
        <v>-0.5</v>
      </c>
      <c r="BI37" s="29">
        <f>VLOOKUP(B37,Zillow!$C$11:$R$193,16,0)</f>
        <v>1.1887194622070146E-3</v>
      </c>
      <c r="BJ37" s="5"/>
      <c r="BK37" s="6">
        <v>10</v>
      </c>
      <c r="BL37" s="6">
        <v>40</v>
      </c>
      <c r="BM37" s="6">
        <v>30</v>
      </c>
      <c r="BN37" s="6">
        <v>10</v>
      </c>
      <c r="BO37" s="6">
        <v>10</v>
      </c>
      <c r="BP37" s="5"/>
      <c r="BQ37" s="43">
        <v>0.2</v>
      </c>
      <c r="BR37" s="43">
        <v>0.02</v>
      </c>
      <c r="BS37" s="43">
        <v>2.2000000000000002</v>
      </c>
      <c r="BT37" s="44">
        <v>0.02</v>
      </c>
      <c r="BU37" s="43">
        <v>-7.0000000000000007E-2</v>
      </c>
      <c r="BV37" s="5"/>
      <c r="BW37" s="43">
        <v>0.05</v>
      </c>
      <c r="BX37" s="43">
        <v>0.32</v>
      </c>
      <c r="BY37" s="43">
        <v>0.4</v>
      </c>
      <c r="BZ37" s="44">
        <v>0</v>
      </c>
      <c r="CA37" s="43">
        <v>0.03</v>
      </c>
      <c r="CB37" s="5"/>
      <c r="CC37" s="45">
        <f t="shared" si="10"/>
        <v>-1.5000000000000003E-2</v>
      </c>
      <c r="CD37" s="45">
        <f t="shared" si="11"/>
        <v>7.4999999999999997E-3</v>
      </c>
      <c r="CE37" s="45">
        <f t="shared" si="12"/>
        <v>-6.0000000000000012E-2</v>
      </c>
      <c r="CF37" s="46">
        <f t="shared" si="13"/>
        <v>-2E-3</v>
      </c>
      <c r="CG37" s="45">
        <f t="shared" si="14"/>
        <v>0.01</v>
      </c>
      <c r="CH37" s="5"/>
      <c r="CI37" s="44">
        <f t="shared" si="15"/>
        <v>10</v>
      </c>
      <c r="CJ37" s="44">
        <f t="shared" si="16"/>
        <v>16.356745757361484</v>
      </c>
      <c r="CK37" s="44">
        <f t="shared" si="17"/>
        <v>28.439829037660182</v>
      </c>
      <c r="CL37" s="44">
        <f t="shared" si="18"/>
        <v>10</v>
      </c>
      <c r="CM37" s="44">
        <f t="shared" si="19"/>
        <v>7.1188719462207022</v>
      </c>
      <c r="CN37" s="47">
        <f t="shared" si="20"/>
        <v>0</v>
      </c>
      <c r="CO37" s="5"/>
      <c r="CP37" s="47">
        <f t="shared" si="21"/>
        <v>1.8500843409280383E-2</v>
      </c>
      <c r="CQ37" s="47">
        <f t="shared" si="22"/>
        <v>4.6675593180211153E-2</v>
      </c>
      <c r="CR37" s="47">
        <f t="shared" si="23"/>
        <v>1.2136102577403891</v>
      </c>
      <c r="CS37" s="47">
        <f t="shared" si="24"/>
        <v>0.5</v>
      </c>
      <c r="CT37" s="47">
        <f t="shared" si="25"/>
        <v>1.811280537792985E-3</v>
      </c>
      <c r="CU37" s="47">
        <f t="shared" si="26"/>
        <v>1.7805979748676737</v>
      </c>
    </row>
    <row r="38" spans="1:99" ht="15" customHeight="1">
      <c r="A38" s="5"/>
      <c r="B38" s="37" t="s">
        <v>119</v>
      </c>
      <c r="C38" s="37" t="s">
        <v>252</v>
      </c>
      <c r="D38" s="37" t="s">
        <v>255</v>
      </c>
      <c r="E38" s="26">
        <v>42551</v>
      </c>
      <c r="F38" s="38">
        <f t="shared" si="2"/>
        <v>77.205643022147072</v>
      </c>
      <c r="G38" s="4">
        <f>134063168-101670513-11038831</f>
        <v>21353824</v>
      </c>
      <c r="H38" s="4">
        <f>37045828-30492921-3454203</f>
        <v>3098704</v>
      </c>
      <c r="I38" s="4">
        <v>134063168</v>
      </c>
      <c r="J38" s="4">
        <v>99115817</v>
      </c>
      <c r="K38" s="4">
        <v>8682716</v>
      </c>
      <c r="L38" s="4">
        <v>41585640</v>
      </c>
      <c r="M38" s="4">
        <v>880759</v>
      </c>
      <c r="N38" s="4">
        <v>4087859</v>
      </c>
      <c r="O38" s="4">
        <v>9486370</v>
      </c>
      <c r="P38" s="4">
        <f>L38+M38+N38+O38</f>
        <v>56040628</v>
      </c>
      <c r="Q38" s="4">
        <v>55415472</v>
      </c>
      <c r="R38" s="4">
        <v>625156</v>
      </c>
      <c r="S38" s="27">
        <v>50338557</v>
      </c>
      <c r="T38" s="27">
        <v>49063845</v>
      </c>
      <c r="U38" s="27">
        <v>55824333</v>
      </c>
      <c r="V38" s="27">
        <v>55047282</v>
      </c>
      <c r="W38" s="27">
        <v>-125956</v>
      </c>
      <c r="X38" s="27">
        <v>3454203</v>
      </c>
      <c r="Y38" s="27">
        <v>3925480</v>
      </c>
      <c r="Z38" s="27">
        <v>4031885</v>
      </c>
      <c r="AA38" s="27">
        <f>33947124-SUM(X38:Z38)</f>
        <v>22535556</v>
      </c>
      <c r="AB38" s="27">
        <f>SUM(X38:AA38)</f>
        <v>33947124</v>
      </c>
      <c r="AC38" s="27">
        <v>4031885</v>
      </c>
      <c r="AD38" s="27">
        <v>0</v>
      </c>
      <c r="AE38" s="27">
        <f>AC38+AD38</f>
        <v>4031885</v>
      </c>
      <c r="AF38" s="27">
        <v>0</v>
      </c>
      <c r="AG38" s="27">
        <v>608500</v>
      </c>
      <c r="AH38" s="27">
        <v>562339</v>
      </c>
      <c r="AI38" s="27">
        <v>390700</v>
      </c>
      <c r="AJ38" s="26">
        <v>42186</v>
      </c>
      <c r="AK38" s="39">
        <v>409000</v>
      </c>
      <c r="AL38" s="39">
        <v>6405000</v>
      </c>
      <c r="AM38" s="39">
        <f>AL38-AK38</f>
        <v>5996000</v>
      </c>
      <c r="AN38" s="40">
        <f>AK38/AL38</f>
        <v>6.3856362217017959E-2</v>
      </c>
      <c r="AO38" s="40">
        <v>0.05</v>
      </c>
      <c r="AP38" s="40"/>
      <c r="AQ38" s="27">
        <f>688375+517138</f>
        <v>1205513</v>
      </c>
      <c r="AR38" s="27">
        <f>688458+517138</f>
        <v>1205596</v>
      </c>
      <c r="AS38" s="27">
        <v>0</v>
      </c>
      <c r="AT38" s="27">
        <v>0</v>
      </c>
      <c r="AU38" s="27">
        <v>872400</v>
      </c>
      <c r="AV38" s="27">
        <v>24536</v>
      </c>
      <c r="AW38" s="27">
        <v>7764001</v>
      </c>
      <c r="AX38" s="27">
        <f>AS38+AT38+AU38+AV38+AW38</f>
        <v>8660937</v>
      </c>
      <c r="AY38" s="27">
        <v>72651</v>
      </c>
      <c r="AZ38" s="27">
        <v>3317127</v>
      </c>
      <c r="BA38" s="27">
        <v>3946716</v>
      </c>
      <c r="BB38" s="27">
        <v>1802910</v>
      </c>
      <c r="BC38" s="27">
        <v>7764001</v>
      </c>
      <c r="BD38" s="27">
        <f>AY38+AZ38+BA38+BB38+BC38</f>
        <v>16903405</v>
      </c>
      <c r="BE38" s="29">
        <f t="shared" si="7"/>
        <v>2.151141132822423E-2</v>
      </c>
      <c r="BF38" s="29">
        <f t="shared" si="8"/>
        <v>0.17652381300324099</v>
      </c>
      <c r="BG38" s="29">
        <f t="shared" si="9"/>
        <v>0.53571212656646172</v>
      </c>
      <c r="BH38" s="42">
        <f>VLOOKUP(B38,Unemployment!$A$2:$F$193,6,0)</f>
        <v>-0.5</v>
      </c>
      <c r="BI38" s="29">
        <f>VLOOKUP(B38,Zillow!$C$11:$R$193,16,0)</f>
        <v>1.5976700644892865E-2</v>
      </c>
      <c r="BJ38" s="5"/>
      <c r="BK38" s="6">
        <v>10</v>
      </c>
      <c r="BL38" s="6">
        <v>40</v>
      </c>
      <c r="BM38" s="6">
        <v>30</v>
      </c>
      <c r="BN38" s="6">
        <v>10</v>
      </c>
      <c r="BO38" s="6">
        <v>10</v>
      </c>
      <c r="BP38" s="5"/>
      <c r="BQ38" s="43">
        <v>0.2</v>
      </c>
      <c r="BR38" s="43">
        <v>0.02</v>
      </c>
      <c r="BS38" s="43">
        <v>2.2000000000000002</v>
      </c>
      <c r="BT38" s="44">
        <v>0.02</v>
      </c>
      <c r="BU38" s="43">
        <v>-7.0000000000000007E-2</v>
      </c>
      <c r="BV38" s="5"/>
      <c r="BW38" s="43">
        <v>0.05</v>
      </c>
      <c r="BX38" s="43">
        <v>0.32</v>
      </c>
      <c r="BY38" s="43">
        <v>0.4</v>
      </c>
      <c r="BZ38" s="44">
        <v>0</v>
      </c>
      <c r="CA38" s="43">
        <v>0.03</v>
      </c>
      <c r="CB38" s="5"/>
      <c r="CC38" s="45">
        <f t="shared" si="10"/>
        <v>-1.5000000000000003E-2</v>
      </c>
      <c r="CD38" s="45">
        <f t="shared" si="11"/>
        <v>7.4999999999999997E-3</v>
      </c>
      <c r="CE38" s="45">
        <f t="shared" si="12"/>
        <v>-6.0000000000000012E-2</v>
      </c>
      <c r="CF38" s="46">
        <f t="shared" si="13"/>
        <v>-2E-3</v>
      </c>
      <c r="CG38" s="45">
        <f t="shared" si="14"/>
        <v>0.01</v>
      </c>
      <c r="CH38" s="5"/>
      <c r="CI38" s="44">
        <f t="shared" si="15"/>
        <v>10</v>
      </c>
      <c r="CJ38" s="44">
        <f t="shared" si="16"/>
        <v>20.869841733765469</v>
      </c>
      <c r="CK38" s="44">
        <f t="shared" si="17"/>
        <v>27.738131223892303</v>
      </c>
      <c r="CL38" s="44">
        <f t="shared" si="18"/>
        <v>10</v>
      </c>
      <c r="CM38" s="44">
        <f t="shared" si="19"/>
        <v>8.5976700644892876</v>
      </c>
      <c r="CN38" s="47">
        <f t="shared" si="20"/>
        <v>0</v>
      </c>
      <c r="CO38" s="5"/>
      <c r="CP38" s="47">
        <f t="shared" si="21"/>
        <v>2.9011411328224233E-2</v>
      </c>
      <c r="CQ38" s="47">
        <f t="shared" si="22"/>
        <v>8.0523813003241004E-2</v>
      </c>
      <c r="CR38" s="47">
        <f t="shared" si="23"/>
        <v>1.2557121265664619</v>
      </c>
      <c r="CS38" s="47">
        <f t="shared" si="24"/>
        <v>0.5</v>
      </c>
      <c r="CT38" s="47">
        <f t="shared" si="25"/>
        <v>1.2976700644892866E-2</v>
      </c>
      <c r="CU38" s="47">
        <f t="shared" si="26"/>
        <v>1.8782240515428201</v>
      </c>
    </row>
    <row r="39" spans="1:99" ht="15" customHeight="1">
      <c r="A39" s="5"/>
      <c r="B39" s="37" t="s">
        <v>37</v>
      </c>
      <c r="C39" s="37" t="s">
        <v>252</v>
      </c>
      <c r="D39" s="37" t="s">
        <v>255</v>
      </c>
      <c r="E39" s="26">
        <v>42551</v>
      </c>
      <c r="F39" s="38">
        <f t="shared" ref="F39:F70" si="37">SUM(CI39:CN39)</f>
        <v>64.693909702332334</v>
      </c>
      <c r="G39" s="4">
        <v>133564612</v>
      </c>
      <c r="H39" s="4">
        <v>53007180</v>
      </c>
      <c r="I39" s="4">
        <v>623597534</v>
      </c>
      <c r="J39" s="4">
        <v>218568102</v>
      </c>
      <c r="K39" s="4">
        <v>-90132537</v>
      </c>
      <c r="L39" s="4">
        <v>203355164</v>
      </c>
      <c r="M39" s="4">
        <v>6466592</v>
      </c>
      <c r="N39" s="4">
        <v>41754405</v>
      </c>
      <c r="O39" s="4">
        <v>73345581</v>
      </c>
      <c r="P39" s="4">
        <v>324921742</v>
      </c>
      <c r="Q39" s="4">
        <v>328928195</v>
      </c>
      <c r="R39" s="4">
        <v>-4006453</v>
      </c>
      <c r="S39" s="27">
        <v>258267443</v>
      </c>
      <c r="T39" s="27">
        <v>254116299</v>
      </c>
      <c r="U39" s="27">
        <v>294083202</v>
      </c>
      <c r="V39" s="27">
        <v>318302897</v>
      </c>
      <c r="W39" s="27">
        <v>1549739</v>
      </c>
      <c r="X39" s="27">
        <v>16734250</v>
      </c>
      <c r="Y39" s="27">
        <v>120455117</v>
      </c>
      <c r="Z39" s="27">
        <v>67324600</v>
      </c>
      <c r="AA39" s="27">
        <v>179497984</v>
      </c>
      <c r="AB39" s="27">
        <v>384011951</v>
      </c>
      <c r="AC39" s="27">
        <v>67324600</v>
      </c>
      <c r="AD39" s="27">
        <v>0</v>
      </c>
      <c r="AE39" s="27">
        <v>67324600</v>
      </c>
      <c r="AF39" s="27">
        <v>0</v>
      </c>
      <c r="AG39" s="27">
        <v>24193000</v>
      </c>
      <c r="AH39" s="27">
        <v>23511400</v>
      </c>
      <c r="AI39" s="27">
        <v>9234700</v>
      </c>
      <c r="AJ39" s="26">
        <v>41821</v>
      </c>
      <c r="AK39" s="39">
        <v>1200000</v>
      </c>
      <c r="AL39" s="39">
        <v>259259700</v>
      </c>
      <c r="AM39" s="39">
        <f>AL39-AK39</f>
        <v>258059700</v>
      </c>
      <c r="AN39" s="40">
        <f>AK39/AL39</f>
        <v>4.6285635600133764E-3</v>
      </c>
      <c r="AO39" s="40">
        <v>4.7500000000000001E-2</v>
      </c>
      <c r="AP39" s="50" t="s">
        <v>278</v>
      </c>
      <c r="AQ39" s="27">
        <v>10689000</v>
      </c>
      <c r="AR39" s="27">
        <v>11844833</v>
      </c>
      <c r="AS39" s="27">
        <v>52415</v>
      </c>
      <c r="AT39" s="27">
        <v>0</v>
      </c>
      <c r="AU39" s="27">
        <v>0</v>
      </c>
      <c r="AV39" s="27">
        <v>4290436</v>
      </c>
      <c r="AW39" s="27">
        <v>28646378</v>
      </c>
      <c r="AX39" s="27">
        <v>32989229</v>
      </c>
      <c r="AY39" s="27">
        <v>1588790</v>
      </c>
      <c r="AZ39" s="27">
        <v>7770387</v>
      </c>
      <c r="BA39" s="27">
        <v>44516612</v>
      </c>
      <c r="BB39" s="27">
        <v>4290436</v>
      </c>
      <c r="BC39" s="27">
        <v>-31547005</v>
      </c>
      <c r="BD39" s="27">
        <v>26619220</v>
      </c>
      <c r="BE39" s="29">
        <f t="shared" ref="BE39:BE70" si="38">AQ39/P39</f>
        <v>3.2897152201036763E-2</v>
      </c>
      <c r="BF39" s="29">
        <f t="shared" ref="BF39:BF70" si="39">AX39/T39</f>
        <v>0.12981941390544177</v>
      </c>
      <c r="BG39" s="29">
        <f t="shared" ref="BG39:BG70" si="40">(AB39-Y39)/P39</f>
        <v>0.81113942199657418</v>
      </c>
      <c r="BH39" s="42">
        <f>VLOOKUP(B39,Unemployment!$A$2:$F$193,6,0)</f>
        <v>-0.39999999999999947</v>
      </c>
      <c r="BI39" s="29">
        <f>VLOOKUP(B39,Zillow!$C$11:$R$193,16,0)</f>
        <v>-9.6355118450328428E-4</v>
      </c>
      <c r="BJ39" s="5"/>
      <c r="BK39" s="6">
        <v>10</v>
      </c>
      <c r="BL39" s="6">
        <v>40</v>
      </c>
      <c r="BM39" s="6">
        <v>30</v>
      </c>
      <c r="BN39" s="6">
        <v>10</v>
      </c>
      <c r="BO39" s="6">
        <v>10</v>
      </c>
      <c r="BP39" s="5"/>
      <c r="BQ39" s="43">
        <v>0.2</v>
      </c>
      <c r="BR39" s="43">
        <v>0.02</v>
      </c>
      <c r="BS39" s="43">
        <v>2.2000000000000002</v>
      </c>
      <c r="BT39" s="44">
        <v>0.02</v>
      </c>
      <c r="BU39" s="43">
        <v>-7.0000000000000007E-2</v>
      </c>
      <c r="BV39" s="5"/>
      <c r="BW39" s="43">
        <v>0.05</v>
      </c>
      <c r="BX39" s="43">
        <v>0.32</v>
      </c>
      <c r="BY39" s="43">
        <v>0.4</v>
      </c>
      <c r="BZ39" s="44">
        <v>0</v>
      </c>
      <c r="CA39" s="43">
        <v>0.03</v>
      </c>
      <c r="CB39" s="5"/>
      <c r="CC39" s="45">
        <f t="shared" ref="CC39:CC70" si="41">(BW39-BQ39)/BK39</f>
        <v>-1.5000000000000003E-2</v>
      </c>
      <c r="CD39" s="45">
        <f t="shared" ref="CD39:CD70" si="42">(BX39-BR39)/BL39</f>
        <v>7.4999999999999997E-3</v>
      </c>
      <c r="CE39" s="45">
        <f t="shared" ref="CE39:CE70" si="43">(BY39-BS39)/BM39</f>
        <v>-6.0000000000000012E-2</v>
      </c>
      <c r="CF39" s="46">
        <f t="shared" ref="CF39:CF70" si="44">(BZ39-BT39)/BN39</f>
        <v>-2E-3</v>
      </c>
      <c r="CG39" s="45">
        <f t="shared" ref="CG39:CG70" si="45">(CA39-BU39)/BO39</f>
        <v>0.01</v>
      </c>
      <c r="CH39" s="5"/>
      <c r="CI39" s="44">
        <f t="shared" ref="CI39:CI70" si="46">MIN(MAX(0,(BE39-BQ39)/CC39),BK39)</f>
        <v>10</v>
      </c>
      <c r="CJ39" s="44">
        <f t="shared" ref="CJ39:CJ70" si="47">MIN(MAX(0,(BF39-BR39)/CD39),BL39)</f>
        <v>14.642588520725569</v>
      </c>
      <c r="CK39" s="44">
        <f t="shared" ref="CK39:CK70" si="48">MIN(MAX(0,(BG39-BS39)/CE39),BM39)</f>
        <v>23.147676300057096</v>
      </c>
      <c r="CL39" s="44">
        <f t="shared" ref="CL39:CL70" si="49">MIN(MAX(0,(BH39-BT39)/CF39),BN39)</f>
        <v>10</v>
      </c>
      <c r="CM39" s="44">
        <f t="shared" ref="CM39:CM70" si="50">MIN(MAX(0,(BI39-BU39)/CG39),BO39)</f>
        <v>6.9036448815496723</v>
      </c>
      <c r="CN39" s="47">
        <f t="shared" ref="CN39:CN70" si="51">IF(SUM(CI39:CM39)=100,CU39*0.00001,0)</f>
        <v>0</v>
      </c>
      <c r="CO39" s="5"/>
      <c r="CP39" s="47">
        <f t="shared" ref="CP39:CP70" si="52">ABS(BE39-BW39*CC39*BK39)</f>
        <v>4.0397152201036762E-2</v>
      </c>
      <c r="CQ39" s="47">
        <f t="shared" ref="CQ39:CQ70" si="53">ABS(BF39-BX39*CD39*BL39)</f>
        <v>3.3819413905441784E-2</v>
      </c>
      <c r="CR39" s="47">
        <f t="shared" ref="CR39:CR70" si="54">ABS(BG39-BY39*CE39*BM39)</f>
        <v>1.5311394219965744</v>
      </c>
      <c r="CS39" s="47">
        <f t="shared" ref="CS39:CS70" si="55">ABS(BH39-BZ39*CF39*BN39)</f>
        <v>0.39999999999999947</v>
      </c>
      <c r="CT39" s="47">
        <f t="shared" ref="CT39:CT70" si="56">ABS(BI39-CA39*CG39*BO39)</f>
        <v>3.9635511845032842E-3</v>
      </c>
      <c r="CU39" s="47">
        <f t="shared" ref="CU39:CU70" si="57">SUM(CP39:CT39)</f>
        <v>2.0093195392875556</v>
      </c>
    </row>
    <row r="40" spans="1:99" ht="15" customHeight="1">
      <c r="A40" s="5"/>
      <c r="B40" s="37" t="s">
        <v>67</v>
      </c>
      <c r="C40" s="37" t="s">
        <v>252</v>
      </c>
      <c r="D40" s="37" t="s">
        <v>255</v>
      </c>
      <c r="E40" s="26">
        <v>42551</v>
      </c>
      <c r="F40" s="38">
        <f t="shared" si="37"/>
        <v>70.312562434459949</v>
      </c>
      <c r="G40" s="4">
        <f>229376195-166465238-14565357</f>
        <v>48345600</v>
      </c>
      <c r="H40" s="4">
        <f>85486303-68144890-10618753</f>
        <v>6722660</v>
      </c>
      <c r="I40" s="4">
        <v>229376195</v>
      </c>
      <c r="J40" s="4">
        <v>153546061</v>
      </c>
      <c r="K40" s="4">
        <v>46569115</v>
      </c>
      <c r="L40" s="4">
        <v>129361030</v>
      </c>
      <c r="M40" s="4">
        <v>677688</v>
      </c>
      <c r="N40" s="4">
        <v>13188245</v>
      </c>
      <c r="O40" s="4">
        <v>14771569</v>
      </c>
      <c r="P40" s="4">
        <f>L40+M40+N40+O40</f>
        <v>157998532</v>
      </c>
      <c r="Q40" s="4">
        <v>151340622</v>
      </c>
      <c r="R40" s="4">
        <v>6657910</v>
      </c>
      <c r="S40" s="27">
        <v>149248923</v>
      </c>
      <c r="T40" s="27">
        <v>143916308</v>
      </c>
      <c r="U40" s="27">
        <v>158864017</v>
      </c>
      <c r="V40" s="27">
        <v>156688513</v>
      </c>
      <c r="W40" s="27">
        <v>1233812</v>
      </c>
      <c r="X40" s="27">
        <v>10618753</v>
      </c>
      <c r="Y40" s="27">
        <v>0</v>
      </c>
      <c r="Z40" s="27">
        <v>0</v>
      </c>
      <c r="AA40" s="27">
        <f>78763643-SUM(X40:Z40)</f>
        <v>68144890</v>
      </c>
      <c r="AB40" s="27">
        <f>SUM(X40:AA40)</f>
        <v>78763643</v>
      </c>
      <c r="AC40" s="27">
        <v>-137234</v>
      </c>
      <c r="AD40" s="27">
        <v>0</v>
      </c>
      <c r="AE40" s="27">
        <f>AC40+AD40</f>
        <v>-137234</v>
      </c>
      <c r="AF40" s="27">
        <v>0</v>
      </c>
      <c r="AG40" s="27">
        <f>733556+606153</f>
        <v>1339709</v>
      </c>
      <c r="AH40" s="27">
        <f>752140+606153</f>
        <v>1358293</v>
      </c>
      <c r="AI40" s="27">
        <f>643556+606153</f>
        <v>1249709</v>
      </c>
      <c r="AJ40" s="26">
        <v>42186</v>
      </c>
      <c r="AK40" s="39">
        <f>3306148+2532435</f>
        <v>5838583</v>
      </c>
      <c r="AL40" s="39">
        <f>5378051+5331179</f>
        <v>10709230</v>
      </c>
      <c r="AM40" s="39">
        <f>AL40-AK40</f>
        <v>4870647</v>
      </c>
      <c r="AN40" s="40">
        <f>AK40/AL40</f>
        <v>0.54519167110987443</v>
      </c>
      <c r="AO40" s="50" t="s">
        <v>279</v>
      </c>
      <c r="AP40" s="50" t="s">
        <v>280</v>
      </c>
      <c r="AQ40" s="27">
        <f t="shared" ref="AQ40:AR40" si="58">1628802+588454</f>
        <v>2217256</v>
      </c>
      <c r="AR40" s="27">
        <f t="shared" si="58"/>
        <v>2217256</v>
      </c>
      <c r="AS40" s="27">
        <v>42482</v>
      </c>
      <c r="AT40" s="27">
        <v>0</v>
      </c>
      <c r="AU40" s="27">
        <v>354394</v>
      </c>
      <c r="AV40" s="27">
        <v>1645899</v>
      </c>
      <c r="AW40" s="27">
        <v>18243033</v>
      </c>
      <c r="AX40" s="27">
        <f t="shared" ref="AX40:AX71" si="59">AS40+AT40+AU40+AV40+AW40</f>
        <v>20285808</v>
      </c>
      <c r="AY40" s="27">
        <v>42482</v>
      </c>
      <c r="AZ40" s="27">
        <v>5907705</v>
      </c>
      <c r="BA40" s="27">
        <v>7008276</v>
      </c>
      <c r="BB40" s="27">
        <v>1645899</v>
      </c>
      <c r="BC40" s="27">
        <v>18243033</v>
      </c>
      <c r="BD40" s="27">
        <f t="shared" ref="BD40:BD73" si="60">AY40+AZ40+BA40+BB40+BC40</f>
        <v>32847395</v>
      </c>
      <c r="BE40" s="29">
        <f t="shared" si="38"/>
        <v>1.4033396209023006E-2</v>
      </c>
      <c r="BF40" s="29">
        <f t="shared" si="39"/>
        <v>0.14095558927206497</v>
      </c>
      <c r="BG40" s="29">
        <f t="shared" si="40"/>
        <v>0.49850870133400987</v>
      </c>
      <c r="BH40" s="42">
        <f>VLOOKUP(B40,Unemployment!$A$2:$F$193,6,0)</f>
        <v>-0.20000000000000018</v>
      </c>
      <c r="BI40" s="29">
        <f>VLOOKUP(B40,Zillow!$C$11:$R$193,16,0)</f>
        <v>-1.1730377795818698E-2</v>
      </c>
      <c r="BJ40" s="5"/>
      <c r="BK40" s="6">
        <v>10</v>
      </c>
      <c r="BL40" s="6">
        <v>40</v>
      </c>
      <c r="BM40" s="6">
        <v>30</v>
      </c>
      <c r="BN40" s="6">
        <v>10</v>
      </c>
      <c r="BO40" s="6">
        <v>10</v>
      </c>
      <c r="BP40" s="5"/>
      <c r="BQ40" s="43">
        <v>0.2</v>
      </c>
      <c r="BR40" s="43">
        <v>0.02</v>
      </c>
      <c r="BS40" s="43">
        <v>2.2000000000000002</v>
      </c>
      <c r="BT40" s="44">
        <v>0.02</v>
      </c>
      <c r="BU40" s="43">
        <v>-7.0000000000000007E-2</v>
      </c>
      <c r="BV40" s="5"/>
      <c r="BW40" s="43">
        <v>0.05</v>
      </c>
      <c r="BX40" s="43">
        <v>0.32</v>
      </c>
      <c r="BY40" s="43">
        <v>0.4</v>
      </c>
      <c r="BZ40" s="44">
        <v>0</v>
      </c>
      <c r="CA40" s="43">
        <v>0.03</v>
      </c>
      <c r="CB40" s="5"/>
      <c r="CC40" s="45">
        <f t="shared" si="41"/>
        <v>-1.5000000000000003E-2</v>
      </c>
      <c r="CD40" s="45">
        <f t="shared" si="42"/>
        <v>7.4999999999999997E-3</v>
      </c>
      <c r="CE40" s="45">
        <f t="shared" si="43"/>
        <v>-6.0000000000000012E-2</v>
      </c>
      <c r="CF40" s="46">
        <f t="shared" si="44"/>
        <v>-2E-3</v>
      </c>
      <c r="CG40" s="45">
        <f t="shared" si="45"/>
        <v>0.01</v>
      </c>
      <c r="CH40" s="5"/>
      <c r="CI40" s="44">
        <f t="shared" si="46"/>
        <v>10</v>
      </c>
      <c r="CJ40" s="44">
        <f t="shared" si="47"/>
        <v>16.127411902941997</v>
      </c>
      <c r="CK40" s="44">
        <f t="shared" si="48"/>
        <v>28.358188311099831</v>
      </c>
      <c r="CL40" s="44">
        <f t="shared" si="49"/>
        <v>10</v>
      </c>
      <c r="CM40" s="44">
        <f t="shared" si="50"/>
        <v>5.8269622204181308</v>
      </c>
      <c r="CN40" s="47">
        <f t="shared" si="51"/>
        <v>0</v>
      </c>
      <c r="CO40" s="5"/>
      <c r="CP40" s="47">
        <f t="shared" si="52"/>
        <v>2.1533396209023007E-2</v>
      </c>
      <c r="CQ40" s="47">
        <f t="shared" si="53"/>
        <v>4.4955589272064986E-2</v>
      </c>
      <c r="CR40" s="47">
        <f t="shared" si="54"/>
        <v>1.2185087013340101</v>
      </c>
      <c r="CS40" s="47">
        <f t="shared" si="55"/>
        <v>0.20000000000000018</v>
      </c>
      <c r="CT40" s="47">
        <f t="shared" si="56"/>
        <v>1.4730377795818697E-2</v>
      </c>
      <c r="CU40" s="47">
        <f t="shared" si="57"/>
        <v>1.499728064610917</v>
      </c>
    </row>
    <row r="41" spans="1:99" ht="15" customHeight="1">
      <c r="A41" s="5"/>
      <c r="B41" s="37" t="s">
        <v>12</v>
      </c>
      <c r="C41" s="37" t="s">
        <v>252</v>
      </c>
      <c r="D41" s="37" t="s">
        <v>255</v>
      </c>
      <c r="E41" s="26">
        <v>42551</v>
      </c>
      <c r="F41" s="38">
        <f t="shared" si="37"/>
        <v>58.265242089676434</v>
      </c>
      <c r="G41" s="4">
        <f>30022322-20738092-5867461-283516</f>
        <v>3133253</v>
      </c>
      <c r="H41" s="4">
        <f>9094752-7956874-410592</f>
        <v>727286</v>
      </c>
      <c r="I41" s="4">
        <v>30022322</v>
      </c>
      <c r="J41" s="4">
        <v>21104304</v>
      </c>
      <c r="K41" s="4">
        <v>8087</v>
      </c>
      <c r="L41" s="4">
        <v>13851330</v>
      </c>
      <c r="M41" s="4">
        <v>1584429</v>
      </c>
      <c r="N41" s="4">
        <v>2210080</v>
      </c>
      <c r="O41" s="4">
        <v>2475324</v>
      </c>
      <c r="P41" s="4">
        <f>L41+M41+N41+O41</f>
        <v>20121163</v>
      </c>
      <c r="Q41" s="4">
        <v>18055428</v>
      </c>
      <c r="R41" s="4">
        <v>2065735</v>
      </c>
      <c r="S41" s="27">
        <v>17233872</v>
      </c>
      <c r="T41" s="27">
        <v>16770475</v>
      </c>
      <c r="U41" s="27">
        <v>18577662</v>
      </c>
      <c r="V41" s="27">
        <v>17215222</v>
      </c>
      <c r="W41" s="27">
        <v>277335</v>
      </c>
      <c r="X41" s="27">
        <f>189867+220725</f>
        <v>410592</v>
      </c>
      <c r="Y41" s="27">
        <v>1712801</v>
      </c>
      <c r="Z41" s="27">
        <v>0</v>
      </c>
      <c r="AA41" s="27">
        <f>5469611+2897855-SUM(X41:Z41)</f>
        <v>6244073</v>
      </c>
      <c r="AB41" s="27">
        <f>SUM(X41:AA41)</f>
        <v>8367466</v>
      </c>
      <c r="AC41" s="27"/>
      <c r="AD41" s="27"/>
      <c r="AE41" s="27"/>
      <c r="AF41" s="27"/>
      <c r="AG41" s="27"/>
      <c r="AH41" s="27"/>
      <c r="AI41" s="27"/>
      <c r="AJ41" s="26"/>
      <c r="AK41" s="39"/>
      <c r="AL41" s="39"/>
      <c r="AM41" s="39"/>
      <c r="AN41" s="40"/>
      <c r="AO41" s="49"/>
      <c r="AP41" s="40"/>
      <c r="AQ41" s="27">
        <f>32254+239778+1048</f>
        <v>273080</v>
      </c>
      <c r="AR41" s="27">
        <f>48729+296968+1048</f>
        <v>346745</v>
      </c>
      <c r="AS41" s="27">
        <v>0</v>
      </c>
      <c r="AT41" s="27">
        <v>0</v>
      </c>
      <c r="AU41" s="27">
        <v>0</v>
      </c>
      <c r="AV41" s="27">
        <v>71413</v>
      </c>
      <c r="AW41" s="27">
        <v>661872</v>
      </c>
      <c r="AX41" s="27">
        <f t="shared" si="59"/>
        <v>733285</v>
      </c>
      <c r="AY41" s="27">
        <v>0</v>
      </c>
      <c r="AZ41" s="27">
        <v>239243</v>
      </c>
      <c r="BA41" s="27">
        <v>424915</v>
      </c>
      <c r="BB41" s="27">
        <v>155063</v>
      </c>
      <c r="BC41" s="27">
        <v>661857</v>
      </c>
      <c r="BD41" s="27">
        <f t="shared" si="60"/>
        <v>1481078</v>
      </c>
      <c r="BE41" s="29">
        <f t="shared" si="38"/>
        <v>1.357178012026442E-2</v>
      </c>
      <c r="BF41" s="29">
        <f t="shared" si="39"/>
        <v>4.372476033028283E-2</v>
      </c>
      <c r="BG41" s="29">
        <f t="shared" si="40"/>
        <v>0.33072964023004037</v>
      </c>
      <c r="BH41" s="42">
        <f>VLOOKUP(B41,Unemployment!$A$2:$F$193,6,0)</f>
        <v>-0.79999999999999982</v>
      </c>
      <c r="BI41" s="29">
        <f>VLOOKUP(B41,Zillow!$C$11:$R$193,16,0)</f>
        <v>-1.8980592876946045E-2</v>
      </c>
      <c r="BJ41" s="5"/>
      <c r="BK41" s="6">
        <v>10</v>
      </c>
      <c r="BL41" s="6">
        <v>40</v>
      </c>
      <c r="BM41" s="6">
        <v>30</v>
      </c>
      <c r="BN41" s="6">
        <v>10</v>
      </c>
      <c r="BO41" s="6">
        <v>10</v>
      </c>
      <c r="BP41" s="5"/>
      <c r="BQ41" s="43">
        <v>0.2</v>
      </c>
      <c r="BR41" s="43">
        <v>0.02</v>
      </c>
      <c r="BS41" s="43">
        <v>2.2000000000000002</v>
      </c>
      <c r="BT41" s="44">
        <v>0.02</v>
      </c>
      <c r="BU41" s="43">
        <v>-7.0000000000000007E-2</v>
      </c>
      <c r="BV41" s="5"/>
      <c r="BW41" s="43">
        <v>0.05</v>
      </c>
      <c r="BX41" s="43">
        <v>0.32</v>
      </c>
      <c r="BY41" s="43">
        <v>0.4</v>
      </c>
      <c r="BZ41" s="44">
        <v>0</v>
      </c>
      <c r="CA41" s="43">
        <v>0.03</v>
      </c>
      <c r="CB41" s="5"/>
      <c r="CC41" s="45">
        <f t="shared" si="41"/>
        <v>-1.5000000000000003E-2</v>
      </c>
      <c r="CD41" s="45">
        <f t="shared" si="42"/>
        <v>7.4999999999999997E-3</v>
      </c>
      <c r="CE41" s="45">
        <f t="shared" si="43"/>
        <v>-6.0000000000000012E-2</v>
      </c>
      <c r="CF41" s="46">
        <f t="shared" si="44"/>
        <v>-2E-3</v>
      </c>
      <c r="CG41" s="45">
        <f t="shared" si="45"/>
        <v>0.01</v>
      </c>
      <c r="CH41" s="5"/>
      <c r="CI41" s="44">
        <f t="shared" si="46"/>
        <v>10</v>
      </c>
      <c r="CJ41" s="44">
        <f t="shared" si="47"/>
        <v>3.1633013773710439</v>
      </c>
      <c r="CK41" s="44">
        <f t="shared" si="48"/>
        <v>30</v>
      </c>
      <c r="CL41" s="44">
        <f t="shared" si="49"/>
        <v>10</v>
      </c>
      <c r="CM41" s="44">
        <f t="shared" si="50"/>
        <v>5.1019407123053959</v>
      </c>
      <c r="CN41" s="47">
        <f t="shared" si="51"/>
        <v>0</v>
      </c>
      <c r="CO41" s="5"/>
      <c r="CP41" s="47">
        <f t="shared" si="52"/>
        <v>2.1071780120264422E-2</v>
      </c>
      <c r="CQ41" s="47">
        <f t="shared" si="53"/>
        <v>5.2275239669717158E-2</v>
      </c>
      <c r="CR41" s="47">
        <f t="shared" si="54"/>
        <v>1.0507296402300406</v>
      </c>
      <c r="CS41" s="47">
        <f t="shared" si="55"/>
        <v>0.79999999999999982</v>
      </c>
      <c r="CT41" s="47">
        <f t="shared" si="56"/>
        <v>2.1980592876946044E-2</v>
      </c>
      <c r="CU41" s="47">
        <f t="shared" si="57"/>
        <v>1.946057252896968</v>
      </c>
    </row>
    <row r="42" spans="1:99" ht="15" customHeight="1">
      <c r="A42" s="5"/>
      <c r="B42" s="37" t="s">
        <v>9</v>
      </c>
      <c r="C42" s="37" t="s">
        <v>252</v>
      </c>
      <c r="D42" s="37" t="s">
        <v>258</v>
      </c>
      <c r="E42" s="26">
        <v>42551</v>
      </c>
      <c r="F42" s="38">
        <f t="shared" si="37"/>
        <v>53.519646720973569</v>
      </c>
      <c r="G42" s="4">
        <f>90291280-21508093-0-2432742-46871943-7146650</f>
        <v>12331852</v>
      </c>
      <c r="H42" s="4">
        <f>54599322-33862425-10197689</f>
        <v>10539208</v>
      </c>
      <c r="I42" s="4">
        <v>90291280</v>
      </c>
      <c r="J42" s="4">
        <v>38380607</v>
      </c>
      <c r="K42" s="4">
        <v>-16382704</v>
      </c>
      <c r="L42" s="4">
        <v>30035000</v>
      </c>
      <c r="M42" s="4">
        <v>992595</v>
      </c>
      <c r="N42" s="4">
        <v>4425994</v>
      </c>
      <c r="O42" s="4">
        <v>14227913</v>
      </c>
      <c r="P42" s="4">
        <f>L42+M42+N42+O42</f>
        <v>49681502</v>
      </c>
      <c r="Q42" s="4">
        <v>55975696</v>
      </c>
      <c r="R42" s="4">
        <v>-6294194</v>
      </c>
      <c r="S42" s="27">
        <v>45897112</v>
      </c>
      <c r="T42" s="27">
        <v>47376519</v>
      </c>
      <c r="U42" s="27">
        <v>46968474</v>
      </c>
      <c r="V42" s="27">
        <v>49973460</v>
      </c>
      <c r="W42" s="27">
        <v>-1062216</v>
      </c>
      <c r="X42" s="27">
        <f>226210+9971479</f>
        <v>10197689</v>
      </c>
      <c r="Y42" s="27">
        <v>8404568</v>
      </c>
      <c r="Z42" s="27">
        <v>15350528</v>
      </c>
      <c r="AA42" s="27">
        <f>43348106+712008-SUM(X42:Z42)</f>
        <v>10107329</v>
      </c>
      <c r="AB42" s="27">
        <f>SUM(X42:AA42)</f>
        <v>44060114</v>
      </c>
      <c r="AC42" s="27">
        <v>15350528</v>
      </c>
      <c r="AD42" s="27">
        <v>0</v>
      </c>
      <c r="AE42" s="27">
        <f t="shared" ref="AE42:AE57" si="61">AC42+AD42</f>
        <v>15350528</v>
      </c>
      <c r="AF42" s="27">
        <v>0</v>
      </c>
      <c r="AG42" s="27">
        <v>3271609</v>
      </c>
      <c r="AH42" s="27">
        <v>3060651</v>
      </c>
      <c r="AI42" s="27">
        <v>1218120</v>
      </c>
      <c r="AJ42" s="26">
        <v>41821</v>
      </c>
      <c r="AK42" s="39">
        <v>0</v>
      </c>
      <c r="AL42" s="39">
        <v>25953329</v>
      </c>
      <c r="AM42" s="39">
        <v>25953329</v>
      </c>
      <c r="AN42" s="40">
        <f t="shared" ref="AN42:AN54" si="62">AK42/AL42</f>
        <v>0</v>
      </c>
      <c r="AO42" s="40">
        <v>0.04</v>
      </c>
      <c r="AP42" s="40">
        <v>0.08</v>
      </c>
      <c r="AQ42" s="27">
        <v>610891</v>
      </c>
      <c r="AR42" s="27">
        <v>610891</v>
      </c>
      <c r="AS42" s="27">
        <v>0</v>
      </c>
      <c r="AT42" s="27">
        <v>0</v>
      </c>
      <c r="AU42" s="27">
        <v>0</v>
      </c>
      <c r="AV42" s="27">
        <v>0</v>
      </c>
      <c r="AW42" s="27">
        <v>1038354</v>
      </c>
      <c r="AX42" s="27">
        <f t="shared" si="59"/>
        <v>1038354</v>
      </c>
      <c r="AY42" s="27">
        <v>8932</v>
      </c>
      <c r="AZ42" s="27">
        <v>171419</v>
      </c>
      <c r="BA42" s="27">
        <v>0</v>
      </c>
      <c r="BB42" s="27">
        <v>1255952</v>
      </c>
      <c r="BC42" s="27">
        <v>-3041299</v>
      </c>
      <c r="BD42" s="27">
        <f t="shared" si="60"/>
        <v>-1604996</v>
      </c>
      <c r="BE42" s="29">
        <f t="shared" si="38"/>
        <v>1.2296145957906023E-2</v>
      </c>
      <c r="BF42" s="29">
        <f t="shared" si="39"/>
        <v>2.1917059799180266E-2</v>
      </c>
      <c r="BG42" s="29">
        <f t="shared" si="40"/>
        <v>0.71768252900244445</v>
      </c>
      <c r="BH42" s="42">
        <f>VLOOKUP(B42,Unemployment!$A$2:$F$193,6,0)</f>
        <v>-0.59999999999999964</v>
      </c>
      <c r="BI42" s="29">
        <f>VLOOKUP(B42,Zillow!$C$11:$R$193,16,0)</f>
        <v>1.5587475644569412E-2</v>
      </c>
      <c r="BJ42" s="5"/>
      <c r="BK42" s="6">
        <v>10</v>
      </c>
      <c r="BL42" s="6">
        <v>40</v>
      </c>
      <c r="BM42" s="6">
        <v>30</v>
      </c>
      <c r="BN42" s="6">
        <v>10</v>
      </c>
      <c r="BO42" s="6">
        <v>10</v>
      </c>
      <c r="BP42" s="5"/>
      <c r="BQ42" s="43">
        <v>0.2</v>
      </c>
      <c r="BR42" s="43">
        <v>0.02</v>
      </c>
      <c r="BS42" s="43">
        <v>2.2000000000000002</v>
      </c>
      <c r="BT42" s="44">
        <v>0.02</v>
      </c>
      <c r="BU42" s="43">
        <v>-7.0000000000000007E-2</v>
      </c>
      <c r="BV42" s="5"/>
      <c r="BW42" s="43">
        <v>0.05</v>
      </c>
      <c r="BX42" s="43">
        <v>0.32</v>
      </c>
      <c r="BY42" s="43">
        <v>0.4</v>
      </c>
      <c r="BZ42" s="44">
        <v>0</v>
      </c>
      <c r="CA42" s="43">
        <v>0.03</v>
      </c>
      <c r="CB42" s="5"/>
      <c r="CC42" s="45">
        <f t="shared" si="41"/>
        <v>-1.5000000000000003E-2</v>
      </c>
      <c r="CD42" s="45">
        <f t="shared" si="42"/>
        <v>7.4999999999999997E-3</v>
      </c>
      <c r="CE42" s="45">
        <f t="shared" si="43"/>
        <v>-6.0000000000000012E-2</v>
      </c>
      <c r="CF42" s="46">
        <f t="shared" si="44"/>
        <v>-2E-3</v>
      </c>
      <c r="CG42" s="45">
        <f t="shared" si="45"/>
        <v>0.01</v>
      </c>
      <c r="CH42" s="5"/>
      <c r="CI42" s="44">
        <f t="shared" si="46"/>
        <v>10</v>
      </c>
      <c r="CJ42" s="44">
        <f t="shared" si="47"/>
        <v>0.25560797322403545</v>
      </c>
      <c r="CK42" s="44">
        <f t="shared" si="48"/>
        <v>24.705291183292591</v>
      </c>
      <c r="CL42" s="44">
        <f t="shared" si="49"/>
        <v>10</v>
      </c>
      <c r="CM42" s="44">
        <f t="shared" si="50"/>
        <v>8.558747564456942</v>
      </c>
      <c r="CN42" s="47">
        <f t="shared" si="51"/>
        <v>0</v>
      </c>
      <c r="CO42" s="5"/>
      <c r="CP42" s="47">
        <f t="shared" si="52"/>
        <v>1.9796145957906026E-2</v>
      </c>
      <c r="CQ42" s="47">
        <f t="shared" si="53"/>
        <v>7.4082940200819722E-2</v>
      </c>
      <c r="CR42" s="47">
        <f t="shared" si="54"/>
        <v>1.4376825290024446</v>
      </c>
      <c r="CS42" s="47">
        <f t="shared" si="55"/>
        <v>0.59999999999999964</v>
      </c>
      <c r="CT42" s="47">
        <f t="shared" si="56"/>
        <v>1.2587475644569412E-2</v>
      </c>
      <c r="CU42" s="47">
        <f t="shared" si="57"/>
        <v>2.1441490908057395</v>
      </c>
    </row>
    <row r="43" spans="1:99" ht="15" customHeight="1">
      <c r="A43" s="5"/>
      <c r="B43" s="37" t="s">
        <v>73</v>
      </c>
      <c r="C43" s="37" t="s">
        <v>252</v>
      </c>
      <c r="D43" s="37" t="s">
        <v>255</v>
      </c>
      <c r="E43" s="26">
        <v>42551</v>
      </c>
      <c r="F43" s="38">
        <f t="shared" si="37"/>
        <v>71.385910465038307</v>
      </c>
      <c r="G43" s="4">
        <f>47377109+20178497-54713516-5681174</f>
        <v>7160916</v>
      </c>
      <c r="H43" s="4">
        <f>1816511-32118-106779-1178670-53723-197361</f>
        <v>247860</v>
      </c>
      <c r="I43" s="4">
        <v>47377109</v>
      </c>
      <c r="J43" s="4">
        <v>45666007</v>
      </c>
      <c r="K43" s="4">
        <v>5557183</v>
      </c>
      <c r="L43" s="4">
        <v>25632131</v>
      </c>
      <c r="M43" s="4">
        <v>70221</v>
      </c>
      <c r="N43" s="4">
        <v>445332</v>
      </c>
      <c r="O43" s="4">
        <v>4467959</v>
      </c>
      <c r="P43" s="4">
        <f>L43+M43+N43+O43</f>
        <v>30615643</v>
      </c>
      <c r="Q43" s="4">
        <v>30505094</v>
      </c>
      <c r="R43" s="4">
        <v>110549</v>
      </c>
      <c r="S43" s="27">
        <v>30733291</v>
      </c>
      <c r="T43" s="27">
        <v>29810362</v>
      </c>
      <c r="U43" s="27">
        <v>30819663</v>
      </c>
      <c r="V43" s="27">
        <v>29875719</v>
      </c>
      <c r="W43" s="27">
        <v>944320</v>
      </c>
      <c r="X43" s="27">
        <v>32118</v>
      </c>
      <c r="Y43" s="27">
        <v>1178670</v>
      </c>
      <c r="Z43" s="27">
        <v>53723</v>
      </c>
      <c r="AA43" s="27">
        <f>1568651-SUM(X43:Z43)</f>
        <v>304140</v>
      </c>
      <c r="AB43" s="27">
        <f>SUM(X43:AA43)</f>
        <v>1568651</v>
      </c>
      <c r="AC43" s="27">
        <v>53723</v>
      </c>
      <c r="AD43" s="27">
        <v>0</v>
      </c>
      <c r="AE43" s="27">
        <f t="shared" si="61"/>
        <v>53723</v>
      </c>
      <c r="AF43" s="27">
        <v>0</v>
      </c>
      <c r="AG43" s="27">
        <v>7400</v>
      </c>
      <c r="AH43" s="27">
        <v>6665</v>
      </c>
      <c r="AI43" s="27">
        <v>0</v>
      </c>
      <c r="AJ43" s="26">
        <v>41821</v>
      </c>
      <c r="AK43" s="39">
        <v>0</v>
      </c>
      <c r="AL43" s="39">
        <v>56000</v>
      </c>
      <c r="AM43" s="39">
        <v>56000</v>
      </c>
      <c r="AN43" s="40">
        <f t="shared" si="62"/>
        <v>0</v>
      </c>
      <c r="AO43" s="40">
        <v>0.04</v>
      </c>
      <c r="AP43" s="40">
        <v>2.5000000000000001E-2</v>
      </c>
      <c r="AQ43" s="27">
        <v>202591</v>
      </c>
      <c r="AR43" s="27">
        <v>202591</v>
      </c>
      <c r="AS43" s="27">
        <v>2500</v>
      </c>
      <c r="AT43" s="27">
        <v>0</v>
      </c>
      <c r="AU43" s="27">
        <v>0</v>
      </c>
      <c r="AV43" s="27">
        <v>430623</v>
      </c>
      <c r="AW43" s="27">
        <v>3266423</v>
      </c>
      <c r="AX43" s="27">
        <f t="shared" si="59"/>
        <v>3699546</v>
      </c>
      <c r="AY43" s="27">
        <v>34028</v>
      </c>
      <c r="AZ43" s="27">
        <v>241015</v>
      </c>
      <c r="BA43" s="27">
        <v>2409038</v>
      </c>
      <c r="BB43" s="27">
        <v>476581</v>
      </c>
      <c r="BC43" s="27">
        <v>3266423</v>
      </c>
      <c r="BD43" s="27">
        <f t="shared" si="60"/>
        <v>6427085</v>
      </c>
      <c r="BE43" s="29">
        <f t="shared" si="38"/>
        <v>6.6172381223546404E-3</v>
      </c>
      <c r="BF43" s="29">
        <f t="shared" si="39"/>
        <v>0.12410268617335141</v>
      </c>
      <c r="BG43" s="29">
        <f t="shared" si="40"/>
        <v>1.2737965359734564E-2</v>
      </c>
      <c r="BH43" s="42">
        <f>VLOOKUP(B43,Unemployment!$A$2:$F$193,6,0)</f>
        <v>-0.39999999999999991</v>
      </c>
      <c r="BI43" s="29">
        <f>VLOOKUP(B43,Zillow!$C$11:$R$193,16,0)</f>
        <v>5.0555230859145334E-3</v>
      </c>
      <c r="BJ43" s="5"/>
      <c r="BK43" s="6">
        <v>10</v>
      </c>
      <c r="BL43" s="6">
        <v>40</v>
      </c>
      <c r="BM43" s="6">
        <v>30</v>
      </c>
      <c r="BN43" s="6">
        <v>10</v>
      </c>
      <c r="BO43" s="6">
        <v>10</v>
      </c>
      <c r="BP43" s="5"/>
      <c r="BQ43" s="43">
        <v>0.2</v>
      </c>
      <c r="BR43" s="43">
        <v>0.02</v>
      </c>
      <c r="BS43" s="43">
        <v>2.2000000000000002</v>
      </c>
      <c r="BT43" s="44">
        <v>0.02</v>
      </c>
      <c r="BU43" s="43">
        <v>-7.0000000000000007E-2</v>
      </c>
      <c r="BV43" s="5"/>
      <c r="BW43" s="43">
        <v>0.05</v>
      </c>
      <c r="BX43" s="43">
        <v>0.32</v>
      </c>
      <c r="BY43" s="43">
        <v>0.4</v>
      </c>
      <c r="BZ43" s="44">
        <v>0</v>
      </c>
      <c r="CA43" s="43">
        <v>0.03</v>
      </c>
      <c r="CB43" s="5"/>
      <c r="CC43" s="45">
        <f t="shared" si="41"/>
        <v>-1.5000000000000003E-2</v>
      </c>
      <c r="CD43" s="45">
        <f t="shared" si="42"/>
        <v>7.4999999999999997E-3</v>
      </c>
      <c r="CE43" s="45">
        <f t="shared" si="43"/>
        <v>-6.0000000000000012E-2</v>
      </c>
      <c r="CF43" s="46">
        <f t="shared" si="44"/>
        <v>-2E-3</v>
      </c>
      <c r="CG43" s="45">
        <f t="shared" si="45"/>
        <v>0.01</v>
      </c>
      <c r="CH43" s="5"/>
      <c r="CI43" s="44">
        <f t="shared" si="46"/>
        <v>10</v>
      </c>
      <c r="CJ43" s="44">
        <f t="shared" si="47"/>
        <v>13.880358156446855</v>
      </c>
      <c r="CK43" s="44">
        <f t="shared" si="48"/>
        <v>30</v>
      </c>
      <c r="CL43" s="44">
        <f t="shared" si="49"/>
        <v>10</v>
      </c>
      <c r="CM43" s="44">
        <f t="shared" si="50"/>
        <v>7.5055523085914535</v>
      </c>
      <c r="CN43" s="47">
        <f t="shared" si="51"/>
        <v>0</v>
      </c>
      <c r="CO43" s="5"/>
      <c r="CP43" s="47">
        <f t="shared" si="52"/>
        <v>1.4117238122354643E-2</v>
      </c>
      <c r="CQ43" s="47">
        <f t="shared" si="53"/>
        <v>2.8102686173351418E-2</v>
      </c>
      <c r="CR43" s="47">
        <f t="shared" si="54"/>
        <v>0.73273796535973479</v>
      </c>
      <c r="CS43" s="47">
        <f t="shared" si="55"/>
        <v>0.39999999999999991</v>
      </c>
      <c r="CT43" s="47">
        <f t="shared" si="56"/>
        <v>2.0555230859145338E-3</v>
      </c>
      <c r="CU43" s="47">
        <f t="shared" si="57"/>
        <v>1.1770134127413554</v>
      </c>
    </row>
    <row r="44" spans="1:99" ht="15" customHeight="1">
      <c r="A44" s="5"/>
      <c r="B44" s="37" t="s">
        <v>133</v>
      </c>
      <c r="C44" s="37" t="s">
        <v>252</v>
      </c>
      <c r="D44" s="37" t="s">
        <v>255</v>
      </c>
      <c r="E44" s="26">
        <v>42551</v>
      </c>
      <c r="F44" s="38">
        <f t="shared" si="37"/>
        <v>79.443010806194849</v>
      </c>
      <c r="G44" s="4">
        <v>7546335</v>
      </c>
      <c r="H44" s="4">
        <v>1164811</v>
      </c>
      <c r="I44" s="4">
        <v>38096884</v>
      </c>
      <c r="J44" s="4">
        <v>28896650</v>
      </c>
      <c r="K44" s="4">
        <v>3329783</v>
      </c>
      <c r="L44" s="4">
        <v>19316729</v>
      </c>
      <c r="M44" s="4">
        <v>243349</v>
      </c>
      <c r="N44" s="4">
        <v>692090</v>
      </c>
      <c r="O44" s="4">
        <v>4445512</v>
      </c>
      <c r="P44" s="4">
        <f>SUM(L44:O44)+22316+76001</f>
        <v>24795997</v>
      </c>
      <c r="Q44" s="4">
        <v>25005041</v>
      </c>
      <c r="R44" s="4">
        <v>-209044</v>
      </c>
      <c r="S44" s="27">
        <v>21213635</v>
      </c>
      <c r="T44" s="27">
        <v>21057643</v>
      </c>
      <c r="U44" s="27">
        <v>25411954</v>
      </c>
      <c r="V44" s="27">
        <v>25540221</v>
      </c>
      <c r="W44" s="27">
        <v>155992</v>
      </c>
      <c r="X44" s="27">
        <v>610372</v>
      </c>
      <c r="Y44" s="27">
        <v>0</v>
      </c>
      <c r="Z44" s="27">
        <v>1605435</v>
      </c>
      <c r="AA44" s="27">
        <f>8035423-X44-Z44</f>
        <v>5819616</v>
      </c>
      <c r="AB44" s="27">
        <f t="shared" ref="AB44:AB69" si="63">X44+Y44+Z44+AA44</f>
        <v>8035423</v>
      </c>
      <c r="AC44" s="27">
        <v>1605435</v>
      </c>
      <c r="AD44" s="27">
        <v>0</v>
      </c>
      <c r="AE44" s="27">
        <f t="shared" si="61"/>
        <v>1605435</v>
      </c>
      <c r="AF44" s="27">
        <v>0</v>
      </c>
      <c r="AG44" s="27">
        <v>300101</v>
      </c>
      <c r="AH44" s="27">
        <v>292766</v>
      </c>
      <c r="AI44" s="27">
        <v>93161</v>
      </c>
      <c r="AJ44" s="26">
        <v>41821</v>
      </c>
      <c r="AK44" s="39">
        <v>0</v>
      </c>
      <c r="AL44" s="39">
        <v>2674432</v>
      </c>
      <c r="AM44" s="39">
        <f t="shared" ref="AM44:AM57" si="64">AL44-AK44</f>
        <v>2674432</v>
      </c>
      <c r="AN44" s="54">
        <f t="shared" si="62"/>
        <v>0</v>
      </c>
      <c r="AO44" s="40">
        <v>0.04</v>
      </c>
      <c r="AP44" s="40">
        <v>2.75E-2</v>
      </c>
      <c r="AQ44" s="27">
        <v>0</v>
      </c>
      <c r="AR44" s="27">
        <v>0</v>
      </c>
      <c r="AS44" s="27">
        <v>43416</v>
      </c>
      <c r="AT44" s="27">
        <v>0</v>
      </c>
      <c r="AU44" s="27">
        <v>0</v>
      </c>
      <c r="AV44" s="27">
        <v>749671</v>
      </c>
      <c r="AW44" s="27">
        <v>3002501</v>
      </c>
      <c r="AX44" s="27">
        <f t="shared" si="59"/>
        <v>3795588</v>
      </c>
      <c r="AY44" s="27">
        <v>43416</v>
      </c>
      <c r="AZ44" s="27">
        <v>1080844</v>
      </c>
      <c r="BA44" s="27">
        <v>764930</v>
      </c>
      <c r="BB44" s="27">
        <v>1552902</v>
      </c>
      <c r="BC44" s="27">
        <v>2910461</v>
      </c>
      <c r="BD44" s="27">
        <f t="shared" si="60"/>
        <v>6352553</v>
      </c>
      <c r="BE44" s="29">
        <f t="shared" si="38"/>
        <v>0</v>
      </c>
      <c r="BF44" s="29">
        <f t="shared" si="39"/>
        <v>0.18024752342890418</v>
      </c>
      <c r="BG44" s="29">
        <f t="shared" si="40"/>
        <v>0.32406129908791326</v>
      </c>
      <c r="BH44" s="42">
        <f>VLOOKUP(B44,Unemployment!$A$2:$F$193,6,0)</f>
        <v>0</v>
      </c>
      <c r="BI44" s="29">
        <f>VLOOKUP(B44,Zillow!$C$11:$R$193,16,0)</f>
        <v>1.0766743490076182E-2</v>
      </c>
      <c r="BJ44" s="5"/>
      <c r="BK44" s="6">
        <v>10</v>
      </c>
      <c r="BL44" s="6">
        <v>40</v>
      </c>
      <c r="BM44" s="6">
        <v>30</v>
      </c>
      <c r="BN44" s="6">
        <v>10</v>
      </c>
      <c r="BO44" s="6">
        <v>10</v>
      </c>
      <c r="BP44" s="5"/>
      <c r="BQ44" s="43">
        <v>0.2</v>
      </c>
      <c r="BR44" s="43">
        <v>0.02</v>
      </c>
      <c r="BS44" s="43">
        <v>2.2000000000000002</v>
      </c>
      <c r="BT44" s="44">
        <v>0.02</v>
      </c>
      <c r="BU44" s="43">
        <v>-7.0000000000000007E-2</v>
      </c>
      <c r="BV44" s="5"/>
      <c r="BW44" s="43">
        <v>0.05</v>
      </c>
      <c r="BX44" s="43">
        <v>0.32</v>
      </c>
      <c r="BY44" s="43">
        <v>0.4</v>
      </c>
      <c r="BZ44" s="44">
        <v>0</v>
      </c>
      <c r="CA44" s="43">
        <v>0.03</v>
      </c>
      <c r="CB44" s="5"/>
      <c r="CC44" s="45">
        <f t="shared" si="41"/>
        <v>-1.5000000000000003E-2</v>
      </c>
      <c r="CD44" s="45">
        <f t="shared" si="42"/>
        <v>7.4999999999999997E-3</v>
      </c>
      <c r="CE44" s="45">
        <f t="shared" si="43"/>
        <v>-6.0000000000000012E-2</v>
      </c>
      <c r="CF44" s="46">
        <f t="shared" si="44"/>
        <v>-2E-3</v>
      </c>
      <c r="CG44" s="45">
        <f t="shared" si="45"/>
        <v>0.01</v>
      </c>
      <c r="CH44" s="5"/>
      <c r="CI44" s="44">
        <f t="shared" si="46"/>
        <v>10</v>
      </c>
      <c r="CJ44" s="44">
        <f t="shared" si="47"/>
        <v>21.366336457187227</v>
      </c>
      <c r="CK44" s="44">
        <f t="shared" si="48"/>
        <v>30</v>
      </c>
      <c r="CL44" s="44">
        <f t="shared" si="49"/>
        <v>10</v>
      </c>
      <c r="CM44" s="44">
        <f t="shared" si="50"/>
        <v>8.076674349007618</v>
      </c>
      <c r="CN44" s="47">
        <f t="shared" si="51"/>
        <v>0</v>
      </c>
      <c r="CO44" s="5"/>
      <c r="CP44" s="47">
        <f t="shared" si="52"/>
        <v>7.5000000000000023E-3</v>
      </c>
      <c r="CQ44" s="47">
        <f t="shared" si="53"/>
        <v>8.4247523428904195E-2</v>
      </c>
      <c r="CR44" s="47">
        <f t="shared" si="54"/>
        <v>1.0440612990879135</v>
      </c>
      <c r="CS44" s="47">
        <f t="shared" si="55"/>
        <v>0</v>
      </c>
      <c r="CT44" s="47">
        <f t="shared" si="56"/>
        <v>7.7667434900761823E-3</v>
      </c>
      <c r="CU44" s="47">
        <f t="shared" si="57"/>
        <v>1.1435755660068938</v>
      </c>
    </row>
    <row r="45" spans="1:99" ht="15" customHeight="1">
      <c r="A45" s="5"/>
      <c r="B45" s="37" t="s">
        <v>82</v>
      </c>
      <c r="C45" s="37" t="s">
        <v>252</v>
      </c>
      <c r="D45" s="37" t="s">
        <v>255</v>
      </c>
      <c r="E45" s="26">
        <v>42551</v>
      </c>
      <c r="F45" s="38">
        <f t="shared" si="37"/>
        <v>72.50458877485903</v>
      </c>
      <c r="G45" s="4">
        <f>I45-11517690-66165988</f>
        <v>19005102</v>
      </c>
      <c r="H45" s="4">
        <f>19637226-1800089-16310889</f>
        <v>1526248</v>
      </c>
      <c r="I45" s="4">
        <v>96688780</v>
      </c>
      <c r="J45" s="4">
        <v>77798785</v>
      </c>
      <c r="K45" s="4">
        <v>15230572</v>
      </c>
      <c r="L45" s="4">
        <v>25140131</v>
      </c>
      <c r="M45" s="4">
        <v>1435616</v>
      </c>
      <c r="N45" s="4">
        <v>1281038</v>
      </c>
      <c r="O45" s="4">
        <v>7045641</v>
      </c>
      <c r="P45" s="4">
        <f t="shared" ref="P45:P69" si="65">SUM(L45:O45)</f>
        <v>34902426</v>
      </c>
      <c r="Q45" s="4">
        <v>32894064</v>
      </c>
      <c r="R45" s="4">
        <v>2008362</v>
      </c>
      <c r="S45" s="27">
        <v>32451011</v>
      </c>
      <c r="T45" s="27">
        <v>30519365</v>
      </c>
      <c r="U45" s="27">
        <v>35139441</v>
      </c>
      <c r="V45" s="27">
        <v>35388515</v>
      </c>
      <c r="W45" s="27">
        <v>-181173</v>
      </c>
      <c r="X45" s="27">
        <v>1800089</v>
      </c>
      <c r="Y45" s="27">
        <v>489314</v>
      </c>
      <c r="Z45" s="27">
        <v>104088</v>
      </c>
      <c r="AA45" s="27">
        <f>18110978-Z45-Y45-X45</f>
        <v>15717487</v>
      </c>
      <c r="AB45" s="27">
        <f t="shared" si="63"/>
        <v>18110978</v>
      </c>
      <c r="AC45" s="27">
        <v>104088</v>
      </c>
      <c r="AD45" s="27">
        <v>0</v>
      </c>
      <c r="AE45" s="27">
        <f t="shared" si="61"/>
        <v>104088</v>
      </c>
      <c r="AF45" s="27">
        <v>0</v>
      </c>
      <c r="AG45" s="27">
        <v>73657</v>
      </c>
      <c r="AH45" s="27">
        <v>73904</v>
      </c>
      <c r="AI45" s="27">
        <v>73657</v>
      </c>
      <c r="AJ45" s="26">
        <v>42186</v>
      </c>
      <c r="AK45" s="39">
        <v>0</v>
      </c>
      <c r="AL45" s="39">
        <v>798540</v>
      </c>
      <c r="AM45" s="39">
        <f t="shared" si="64"/>
        <v>798540</v>
      </c>
      <c r="AN45" s="54">
        <f t="shared" si="62"/>
        <v>0</v>
      </c>
      <c r="AO45" s="40">
        <v>4.4999999999999998E-2</v>
      </c>
      <c r="AP45" s="41"/>
      <c r="AQ45" s="27">
        <f>23957+54183</f>
        <v>78140</v>
      </c>
      <c r="AR45" s="27">
        <f>59739+54183</f>
        <v>113922</v>
      </c>
      <c r="AS45" s="27">
        <v>0</v>
      </c>
      <c r="AT45" s="27">
        <v>0</v>
      </c>
      <c r="AU45" s="27">
        <v>0</v>
      </c>
      <c r="AV45" s="27">
        <v>411480</v>
      </c>
      <c r="AW45" s="27">
        <v>4152163</v>
      </c>
      <c r="AX45" s="27">
        <f t="shared" si="59"/>
        <v>4563643</v>
      </c>
      <c r="AY45" s="27">
        <v>444046</v>
      </c>
      <c r="AZ45" s="27">
        <v>7275147</v>
      </c>
      <c r="BA45" s="27">
        <v>5278905</v>
      </c>
      <c r="BB45" s="27">
        <v>512718</v>
      </c>
      <c r="BC45" s="27">
        <v>3658848</v>
      </c>
      <c r="BD45" s="27">
        <f t="shared" si="60"/>
        <v>17169664</v>
      </c>
      <c r="BE45" s="29">
        <f t="shared" si="38"/>
        <v>2.2388128550147202E-3</v>
      </c>
      <c r="BF45" s="29">
        <f t="shared" si="39"/>
        <v>0.14953269833759647</v>
      </c>
      <c r="BG45" s="29">
        <f t="shared" si="40"/>
        <v>0.50488364333184177</v>
      </c>
      <c r="BH45" s="42">
        <f>VLOOKUP(B45,Unemployment!$A$2:$F$193,6,0)</f>
        <v>-0.40000000000000036</v>
      </c>
      <c r="BI45" s="29">
        <f>VLOOKUP(B45,Zillow!$C$11:$R$193,16,0)</f>
        <v>-1.8376947956466274E-4</v>
      </c>
      <c r="BJ45" s="5"/>
      <c r="BK45" s="6">
        <v>10</v>
      </c>
      <c r="BL45" s="6">
        <v>40</v>
      </c>
      <c r="BM45" s="6">
        <v>30</v>
      </c>
      <c r="BN45" s="6">
        <v>10</v>
      </c>
      <c r="BO45" s="6">
        <v>10</v>
      </c>
      <c r="BP45" s="5"/>
      <c r="BQ45" s="43">
        <v>0.2</v>
      </c>
      <c r="BR45" s="43">
        <v>0.02</v>
      </c>
      <c r="BS45" s="43">
        <v>2.2000000000000002</v>
      </c>
      <c r="BT45" s="44">
        <v>0.02</v>
      </c>
      <c r="BU45" s="43">
        <v>-7.0000000000000007E-2</v>
      </c>
      <c r="BV45" s="5"/>
      <c r="BW45" s="43">
        <v>0.05</v>
      </c>
      <c r="BX45" s="43">
        <v>0.32</v>
      </c>
      <c r="BY45" s="43">
        <v>0.4</v>
      </c>
      <c r="BZ45" s="44">
        <v>0</v>
      </c>
      <c r="CA45" s="43">
        <v>0.03</v>
      </c>
      <c r="CB45" s="5"/>
      <c r="CC45" s="45">
        <f t="shared" si="41"/>
        <v>-1.5000000000000003E-2</v>
      </c>
      <c r="CD45" s="45">
        <f t="shared" si="42"/>
        <v>7.4999999999999997E-3</v>
      </c>
      <c r="CE45" s="45">
        <f t="shared" si="43"/>
        <v>-6.0000000000000012E-2</v>
      </c>
      <c r="CF45" s="46">
        <f t="shared" si="44"/>
        <v>-2E-3</v>
      </c>
      <c r="CG45" s="45">
        <f t="shared" si="45"/>
        <v>0.01</v>
      </c>
      <c r="CH45" s="5"/>
      <c r="CI45" s="44">
        <f t="shared" si="46"/>
        <v>10</v>
      </c>
      <c r="CJ45" s="44">
        <f t="shared" si="47"/>
        <v>17.271026445012865</v>
      </c>
      <c r="CK45" s="44">
        <f t="shared" si="48"/>
        <v>28.251939277802634</v>
      </c>
      <c r="CL45" s="44">
        <f t="shared" si="49"/>
        <v>10</v>
      </c>
      <c r="CM45" s="44">
        <f t="shared" si="50"/>
        <v>6.9816230520435338</v>
      </c>
      <c r="CN45" s="47">
        <f t="shared" si="51"/>
        <v>0</v>
      </c>
      <c r="CO45" s="5"/>
      <c r="CP45" s="47">
        <f t="shared" si="52"/>
        <v>9.7388128550147217E-3</v>
      </c>
      <c r="CQ45" s="47">
        <f t="shared" si="53"/>
        <v>5.3532698337596482E-2</v>
      </c>
      <c r="CR45" s="47">
        <f t="shared" si="54"/>
        <v>1.224883643331842</v>
      </c>
      <c r="CS45" s="47">
        <f t="shared" si="55"/>
        <v>0.40000000000000036</v>
      </c>
      <c r="CT45" s="47">
        <f t="shared" si="56"/>
        <v>3.1837694795646622E-3</v>
      </c>
      <c r="CU45" s="47">
        <f t="shared" si="57"/>
        <v>1.6913389240040182</v>
      </c>
    </row>
    <row r="46" spans="1:99" ht="15" customHeight="1">
      <c r="A46" s="5"/>
      <c r="B46" s="37" t="s">
        <v>49</v>
      </c>
      <c r="C46" s="37" t="s">
        <v>252</v>
      </c>
      <c r="D46" s="37" t="s">
        <v>255</v>
      </c>
      <c r="E46" s="26">
        <v>42551</v>
      </c>
      <c r="F46" s="38">
        <f t="shared" si="37"/>
        <v>67.097836161096325</v>
      </c>
      <c r="G46" s="4">
        <v>23274986</v>
      </c>
      <c r="H46" s="4">
        <v>13605133</v>
      </c>
      <c r="I46" s="4">
        <v>144384148</v>
      </c>
      <c r="J46" s="4">
        <v>92305897</v>
      </c>
      <c r="K46" s="4">
        <v>7422392</v>
      </c>
      <c r="L46" s="4">
        <f>32164130+152200+102101+27402</f>
        <v>32445833</v>
      </c>
      <c r="M46" s="4">
        <v>10431742</v>
      </c>
      <c r="N46" s="4">
        <v>4032398</v>
      </c>
      <c r="O46" s="4">
        <v>13052314</v>
      </c>
      <c r="P46" s="4">
        <f t="shared" si="65"/>
        <v>59962287</v>
      </c>
      <c r="Q46" s="4">
        <v>51202460</v>
      </c>
      <c r="R46" s="4">
        <f>P46-Q46</f>
        <v>8759827</v>
      </c>
      <c r="S46" s="27">
        <v>44057329</v>
      </c>
      <c r="T46" s="27">
        <v>42726416</v>
      </c>
      <c r="U46" s="27">
        <v>59561482</v>
      </c>
      <c r="V46" s="27">
        <v>74377913</v>
      </c>
      <c r="W46" s="27">
        <v>-105005</v>
      </c>
      <c r="X46" s="27">
        <v>2476579</v>
      </c>
      <c r="Y46" s="27">
        <v>10453647</v>
      </c>
      <c r="Z46" s="27">
        <v>2094949</v>
      </c>
      <c r="AA46" s="27">
        <f>44593989-2476579-10453647-2094949</f>
        <v>29568814</v>
      </c>
      <c r="AB46" s="27">
        <f t="shared" si="63"/>
        <v>44593989</v>
      </c>
      <c r="AC46" s="27">
        <v>295687</v>
      </c>
      <c r="AD46" s="27">
        <v>0</v>
      </c>
      <c r="AE46" s="27">
        <f t="shared" si="61"/>
        <v>295687</v>
      </c>
      <c r="AF46" s="27">
        <v>0</v>
      </c>
      <c r="AG46" s="27">
        <v>520026</v>
      </c>
      <c r="AH46" s="27">
        <v>514028</v>
      </c>
      <c r="AI46" s="27">
        <v>218341</v>
      </c>
      <c r="AJ46" s="26">
        <v>41821</v>
      </c>
      <c r="AK46" s="51">
        <v>0</v>
      </c>
      <c r="AL46" s="51">
        <v>6226339</v>
      </c>
      <c r="AM46" s="39">
        <f t="shared" si="64"/>
        <v>6226339</v>
      </c>
      <c r="AN46" s="40">
        <f t="shared" si="62"/>
        <v>0</v>
      </c>
      <c r="AO46" s="40">
        <v>0.04</v>
      </c>
      <c r="AP46" s="50" t="s">
        <v>281</v>
      </c>
      <c r="AQ46" s="27">
        <v>957490</v>
      </c>
      <c r="AR46" s="27">
        <v>960000</v>
      </c>
      <c r="AS46" s="27">
        <v>0</v>
      </c>
      <c r="AT46" s="27">
        <v>0</v>
      </c>
      <c r="AU46" s="27">
        <v>0</v>
      </c>
      <c r="AV46" s="27">
        <v>0</v>
      </c>
      <c r="AW46" s="27">
        <v>4959395</v>
      </c>
      <c r="AX46" s="27">
        <f t="shared" si="59"/>
        <v>4959395</v>
      </c>
      <c r="AY46" s="27">
        <v>15500</v>
      </c>
      <c r="AZ46" s="27">
        <v>808733</v>
      </c>
      <c r="BA46" s="27">
        <v>5699789</v>
      </c>
      <c r="BB46" s="27">
        <v>113865</v>
      </c>
      <c r="BC46" s="27">
        <v>4933333</v>
      </c>
      <c r="BD46" s="27">
        <f t="shared" si="60"/>
        <v>11571220</v>
      </c>
      <c r="BE46" s="29">
        <f t="shared" si="38"/>
        <v>1.5968203480964626E-2</v>
      </c>
      <c r="BF46" s="29">
        <f t="shared" si="39"/>
        <v>0.11607327420114058</v>
      </c>
      <c r="BG46" s="29">
        <f t="shared" si="40"/>
        <v>0.56936357347410715</v>
      </c>
      <c r="BH46" s="42">
        <f>VLOOKUP(B46,Unemployment!$A$2:$F$193,6,0)</f>
        <v>-0.20000000000000018</v>
      </c>
      <c r="BI46" s="52">
        <f>VLOOKUP(VLOOKUP(B46,Counties!$A$20:$E$189,2,0),Zillow!$C$3:$R$10,16,0)</f>
        <v>1.1079249217936867E-3</v>
      </c>
      <c r="BJ46" s="5"/>
      <c r="BK46" s="6">
        <v>10</v>
      </c>
      <c r="BL46" s="6">
        <v>40</v>
      </c>
      <c r="BM46" s="6">
        <v>30</v>
      </c>
      <c r="BN46" s="6">
        <v>10</v>
      </c>
      <c r="BO46" s="6">
        <v>10</v>
      </c>
      <c r="BP46" s="5"/>
      <c r="BQ46" s="43">
        <v>0.2</v>
      </c>
      <c r="BR46" s="43">
        <v>0.02</v>
      </c>
      <c r="BS46" s="43">
        <v>2.2000000000000002</v>
      </c>
      <c r="BT46" s="44">
        <v>0.02</v>
      </c>
      <c r="BU46" s="43">
        <v>-7.0000000000000007E-2</v>
      </c>
      <c r="BV46" s="5"/>
      <c r="BW46" s="43">
        <v>0.05</v>
      </c>
      <c r="BX46" s="43">
        <v>0.32</v>
      </c>
      <c r="BY46" s="43">
        <v>0.4</v>
      </c>
      <c r="BZ46" s="44">
        <v>0</v>
      </c>
      <c r="CA46" s="43">
        <v>0.03</v>
      </c>
      <c r="CB46" s="5"/>
      <c r="CC46" s="45">
        <f t="shared" si="41"/>
        <v>-1.5000000000000003E-2</v>
      </c>
      <c r="CD46" s="45">
        <f t="shared" si="42"/>
        <v>7.4999999999999997E-3</v>
      </c>
      <c r="CE46" s="45">
        <f t="shared" si="43"/>
        <v>-6.0000000000000012E-2</v>
      </c>
      <c r="CF46" s="46">
        <f t="shared" si="44"/>
        <v>-2E-3</v>
      </c>
      <c r="CG46" s="45">
        <f t="shared" si="45"/>
        <v>0.01</v>
      </c>
      <c r="CH46" s="5"/>
      <c r="CI46" s="44">
        <f t="shared" si="46"/>
        <v>10</v>
      </c>
      <c r="CJ46" s="44">
        <f t="shared" si="47"/>
        <v>12.809769893485411</v>
      </c>
      <c r="CK46" s="44">
        <f t="shared" si="48"/>
        <v>27.177273775431544</v>
      </c>
      <c r="CL46" s="44">
        <f t="shared" si="49"/>
        <v>10</v>
      </c>
      <c r="CM46" s="44">
        <f t="shared" si="50"/>
        <v>7.1107924921793702</v>
      </c>
      <c r="CN46" s="47">
        <f t="shared" si="51"/>
        <v>0</v>
      </c>
      <c r="CO46" s="5"/>
      <c r="CP46" s="47">
        <f t="shared" si="52"/>
        <v>2.3468203480964629E-2</v>
      </c>
      <c r="CQ46" s="47">
        <f t="shared" si="53"/>
        <v>2.0073274201140592E-2</v>
      </c>
      <c r="CR46" s="47">
        <f t="shared" si="54"/>
        <v>1.2893635734741073</v>
      </c>
      <c r="CS46" s="47">
        <f t="shared" si="55"/>
        <v>0.20000000000000018</v>
      </c>
      <c r="CT46" s="47">
        <f t="shared" si="56"/>
        <v>1.892075078206313E-3</v>
      </c>
      <c r="CU46" s="47">
        <f t="shared" si="57"/>
        <v>1.5347971262344191</v>
      </c>
    </row>
    <row r="47" spans="1:99" ht="15" customHeight="1">
      <c r="A47" s="5"/>
      <c r="B47" s="37" t="s">
        <v>34</v>
      </c>
      <c r="C47" s="37" t="s">
        <v>252</v>
      </c>
      <c r="D47" s="37" t="s">
        <v>255</v>
      </c>
      <c r="E47" s="26">
        <v>42551</v>
      </c>
      <c r="F47" s="38">
        <f t="shared" si="37"/>
        <v>63.924419551195356</v>
      </c>
      <c r="G47" s="4">
        <f>I47-28488000-132476000</f>
        <v>57036000</v>
      </c>
      <c r="H47" s="4">
        <f>340616000-17188000-305554000</f>
        <v>17874000</v>
      </c>
      <c r="I47" s="4">
        <v>218000000</v>
      </c>
      <c r="J47" s="4">
        <v>-98223000</v>
      </c>
      <c r="K47" s="4">
        <v>-200467000</v>
      </c>
      <c r="L47" s="4">
        <v>133753000</v>
      </c>
      <c r="M47" s="4">
        <v>5000</v>
      </c>
      <c r="N47" s="4">
        <v>14192000</v>
      </c>
      <c r="O47" s="4">
        <v>93335000</v>
      </c>
      <c r="P47" s="4">
        <f t="shared" si="65"/>
        <v>241285000</v>
      </c>
      <c r="Q47" s="4">
        <v>262635000</v>
      </c>
      <c r="R47" s="4">
        <v>-21350000</v>
      </c>
      <c r="S47" s="27">
        <v>202305000</v>
      </c>
      <c r="T47" s="27">
        <v>200564000</v>
      </c>
      <c r="U47" s="27">
        <v>241084000</v>
      </c>
      <c r="V47" s="27">
        <v>249689000</v>
      </c>
      <c r="W47" s="27">
        <v>977000</v>
      </c>
      <c r="X47" s="27">
        <v>17188000</v>
      </c>
      <c r="Y47" s="27">
        <v>180901000</v>
      </c>
      <c r="Z47" s="27">
        <v>61572000</v>
      </c>
      <c r="AA47" s="27">
        <f>322742000-Z47-Y47-X47</f>
        <v>63081000</v>
      </c>
      <c r="AB47" s="27">
        <f t="shared" si="63"/>
        <v>322742000</v>
      </c>
      <c r="AC47" s="27">
        <v>61572000</v>
      </c>
      <c r="AD47" s="27">
        <v>0</v>
      </c>
      <c r="AE47" s="27">
        <f t="shared" si="61"/>
        <v>61572000</v>
      </c>
      <c r="AF47" s="27">
        <v>0</v>
      </c>
      <c r="AG47" s="27">
        <v>13747000</v>
      </c>
      <c r="AH47" s="27">
        <v>12174000</v>
      </c>
      <c r="AI47" s="27">
        <v>5704000</v>
      </c>
      <c r="AJ47" s="26">
        <v>42186</v>
      </c>
      <c r="AK47" s="39">
        <v>2448000</v>
      </c>
      <c r="AL47" s="39">
        <v>134043000</v>
      </c>
      <c r="AM47" s="39">
        <f t="shared" si="64"/>
        <v>131595000</v>
      </c>
      <c r="AN47" s="40">
        <f t="shared" si="62"/>
        <v>1.8262796266869587E-2</v>
      </c>
      <c r="AO47" s="40">
        <v>8.5000000000000006E-2</v>
      </c>
      <c r="AP47" s="41">
        <v>0.03</v>
      </c>
      <c r="AQ47" s="27">
        <v>11879000</v>
      </c>
      <c r="AR47" s="27">
        <v>11856000</v>
      </c>
      <c r="AS47" s="27">
        <v>0</v>
      </c>
      <c r="AT47" s="27">
        <v>0</v>
      </c>
      <c r="AU47" s="27">
        <v>0</v>
      </c>
      <c r="AV47" s="27">
        <v>961000</v>
      </c>
      <c r="AW47" s="27">
        <v>16312000</v>
      </c>
      <c r="AX47" s="27">
        <f t="shared" si="59"/>
        <v>17273000</v>
      </c>
      <c r="AY47" s="27">
        <v>154000</v>
      </c>
      <c r="AZ47" s="27">
        <v>938000</v>
      </c>
      <c r="BA47" s="27">
        <v>11613000</v>
      </c>
      <c r="BB47" s="27">
        <v>961000</v>
      </c>
      <c r="BC47" s="27">
        <v>4486000</v>
      </c>
      <c r="BD47" s="27">
        <f t="shared" si="60"/>
        <v>18152000</v>
      </c>
      <c r="BE47" s="29">
        <f t="shared" si="38"/>
        <v>4.9232235737820422E-2</v>
      </c>
      <c r="BF47" s="29">
        <f t="shared" si="39"/>
        <v>8.6122135577670969E-2</v>
      </c>
      <c r="BG47" s="29">
        <f t="shared" si="40"/>
        <v>0.58785668400439317</v>
      </c>
      <c r="BH47" s="42">
        <f>VLOOKUP(B47,Unemployment!$A$2:$F$193,6,0)</f>
        <v>-0.80000000000000071</v>
      </c>
      <c r="BI47" s="29">
        <f>VLOOKUP(B47,Zillow!$C$11:$R$193,16,0)</f>
        <v>1.2390795409124515E-2</v>
      </c>
      <c r="BJ47" s="5"/>
      <c r="BK47" s="6">
        <v>10</v>
      </c>
      <c r="BL47" s="6">
        <v>40</v>
      </c>
      <c r="BM47" s="6">
        <v>30</v>
      </c>
      <c r="BN47" s="6">
        <v>10</v>
      </c>
      <c r="BO47" s="6">
        <v>10</v>
      </c>
      <c r="BP47" s="5"/>
      <c r="BQ47" s="43">
        <v>0.2</v>
      </c>
      <c r="BR47" s="43">
        <v>0.02</v>
      </c>
      <c r="BS47" s="43">
        <v>2.2000000000000002</v>
      </c>
      <c r="BT47" s="44">
        <v>0.02</v>
      </c>
      <c r="BU47" s="43">
        <v>-7.0000000000000007E-2</v>
      </c>
      <c r="BV47" s="5"/>
      <c r="BW47" s="43">
        <v>0.05</v>
      </c>
      <c r="BX47" s="43">
        <v>0.32</v>
      </c>
      <c r="BY47" s="43">
        <v>0.4</v>
      </c>
      <c r="BZ47" s="44">
        <v>0</v>
      </c>
      <c r="CA47" s="43">
        <v>0.03</v>
      </c>
      <c r="CB47" s="5"/>
      <c r="CC47" s="45">
        <f t="shared" si="41"/>
        <v>-1.5000000000000003E-2</v>
      </c>
      <c r="CD47" s="45">
        <f t="shared" si="42"/>
        <v>7.4999999999999997E-3</v>
      </c>
      <c r="CE47" s="45">
        <f t="shared" si="43"/>
        <v>-6.0000000000000012E-2</v>
      </c>
      <c r="CF47" s="46">
        <f t="shared" si="44"/>
        <v>-2E-3</v>
      </c>
      <c r="CG47" s="45">
        <f t="shared" si="45"/>
        <v>0.01</v>
      </c>
      <c r="CH47" s="5"/>
      <c r="CI47" s="44">
        <f t="shared" si="46"/>
        <v>10</v>
      </c>
      <c r="CJ47" s="44">
        <f t="shared" si="47"/>
        <v>8.8162847436894616</v>
      </c>
      <c r="CK47" s="44">
        <f t="shared" si="48"/>
        <v>26.869055266593445</v>
      </c>
      <c r="CL47" s="44">
        <f t="shared" si="49"/>
        <v>10</v>
      </c>
      <c r="CM47" s="44">
        <f t="shared" si="50"/>
        <v>8.2390795409124529</v>
      </c>
      <c r="CN47" s="47">
        <f t="shared" si="51"/>
        <v>0</v>
      </c>
      <c r="CO47" s="5"/>
      <c r="CP47" s="47">
        <f t="shared" si="52"/>
        <v>5.6732235737820422E-2</v>
      </c>
      <c r="CQ47" s="47">
        <f t="shared" si="53"/>
        <v>9.8778644223290191E-3</v>
      </c>
      <c r="CR47" s="47">
        <f t="shared" si="54"/>
        <v>1.3078566840043933</v>
      </c>
      <c r="CS47" s="47">
        <f t="shared" si="55"/>
        <v>0.80000000000000071</v>
      </c>
      <c r="CT47" s="47">
        <f t="shared" si="56"/>
        <v>9.3907954091245159E-3</v>
      </c>
      <c r="CU47" s="47">
        <f t="shared" si="57"/>
        <v>2.1838575795736679</v>
      </c>
    </row>
    <row r="48" spans="1:99" ht="15" customHeight="1">
      <c r="A48" s="5"/>
      <c r="B48" s="37" t="s">
        <v>14</v>
      </c>
      <c r="C48" s="37" t="s">
        <v>252</v>
      </c>
      <c r="D48" s="37" t="s">
        <v>255</v>
      </c>
      <c r="E48" s="26">
        <v>42551</v>
      </c>
      <c r="F48" s="38">
        <f t="shared" si="37"/>
        <v>58.394497133622373</v>
      </c>
      <c r="G48" s="4">
        <v>24096380</v>
      </c>
      <c r="H48" s="4">
        <v>21836040</v>
      </c>
      <c r="I48" s="4">
        <v>113375862</v>
      </c>
      <c r="J48" s="4">
        <v>27553566</v>
      </c>
      <c r="K48" s="4">
        <v>-29130547</v>
      </c>
      <c r="L48" s="4">
        <v>65579786</v>
      </c>
      <c r="M48" s="4">
        <v>331519</v>
      </c>
      <c r="N48" s="4">
        <v>3473251</v>
      </c>
      <c r="O48" s="4">
        <v>30819650</v>
      </c>
      <c r="P48" s="4">
        <f t="shared" si="65"/>
        <v>100204206</v>
      </c>
      <c r="Q48" s="4">
        <v>104387631</v>
      </c>
      <c r="R48" s="4">
        <f>P48-Q48</f>
        <v>-4183425</v>
      </c>
      <c r="S48" s="27">
        <v>93175378</v>
      </c>
      <c r="T48" s="27">
        <v>92066517</v>
      </c>
      <c r="U48" s="27">
        <v>102053006</v>
      </c>
      <c r="V48" s="27">
        <v>103833921</v>
      </c>
      <c r="W48" s="27">
        <v>1133876</v>
      </c>
      <c r="X48" s="27">
        <v>10995191</v>
      </c>
      <c r="Y48" s="27">
        <v>1655172</v>
      </c>
      <c r="Z48" s="27">
        <v>21328392</v>
      </c>
      <c r="AA48" s="27">
        <f>75516122-10995191-Z48-Y48</f>
        <v>41537367</v>
      </c>
      <c r="AB48" s="27">
        <f t="shared" si="63"/>
        <v>75516122</v>
      </c>
      <c r="AC48" s="27">
        <f>16333732+4994660</f>
        <v>21328392</v>
      </c>
      <c r="AD48" s="27">
        <v>0</v>
      </c>
      <c r="AE48" s="27">
        <f t="shared" si="61"/>
        <v>21328392</v>
      </c>
      <c r="AF48" s="27">
        <v>0</v>
      </c>
      <c r="AG48" s="27">
        <f>4583188+4732007</f>
        <v>9315195</v>
      </c>
      <c r="AH48" s="27">
        <f>4655525+4585064</f>
        <v>9240589</v>
      </c>
      <c r="AI48" s="27">
        <f>18885070+2284353</f>
        <v>21169423</v>
      </c>
      <c r="AJ48" s="26">
        <v>42186</v>
      </c>
      <c r="AK48" s="51">
        <v>0</v>
      </c>
      <c r="AL48" s="51">
        <f>69082589+47101378</f>
        <v>116183967</v>
      </c>
      <c r="AM48" s="39">
        <f t="shared" si="64"/>
        <v>116183967</v>
      </c>
      <c r="AN48" s="40">
        <f t="shared" si="62"/>
        <v>0</v>
      </c>
      <c r="AO48" s="40">
        <v>0.04</v>
      </c>
      <c r="AP48" s="50" t="s">
        <v>282</v>
      </c>
      <c r="AQ48" s="27">
        <v>2567016</v>
      </c>
      <c r="AR48" s="27">
        <v>2567016</v>
      </c>
      <c r="AS48" s="27">
        <v>0</v>
      </c>
      <c r="AT48" s="27">
        <v>0</v>
      </c>
      <c r="AU48" s="27">
        <v>0</v>
      </c>
      <c r="AV48" s="27">
        <v>0</v>
      </c>
      <c r="AW48" s="27">
        <v>4984714</v>
      </c>
      <c r="AX48" s="27">
        <f t="shared" si="59"/>
        <v>4984714</v>
      </c>
      <c r="AY48" s="27">
        <v>100000</v>
      </c>
      <c r="AZ48" s="27">
        <v>1896356</v>
      </c>
      <c r="BA48" s="27">
        <v>730674</v>
      </c>
      <c r="BB48" s="27">
        <v>176750</v>
      </c>
      <c r="BC48" s="27">
        <v>646035</v>
      </c>
      <c r="BD48" s="27">
        <f t="shared" si="60"/>
        <v>3549815</v>
      </c>
      <c r="BE48" s="29">
        <f t="shared" si="38"/>
        <v>2.5617846819723317E-2</v>
      </c>
      <c r="BF48" s="29">
        <f t="shared" si="39"/>
        <v>5.4142528276593757E-2</v>
      </c>
      <c r="BG48" s="29">
        <f t="shared" si="40"/>
        <v>0.73710428881598045</v>
      </c>
      <c r="BH48" s="42">
        <f>VLOOKUP(B48,Unemployment!$A$2:$F$193,6,0)</f>
        <v>-0.70000000000000018</v>
      </c>
      <c r="BI48" s="29">
        <f>VLOOKUP(B48,Zillow!$C$11:$R$193,16,0)</f>
        <v>2.4605648436762176E-2</v>
      </c>
      <c r="BJ48" s="5"/>
      <c r="BK48" s="6">
        <v>10</v>
      </c>
      <c r="BL48" s="6">
        <v>40</v>
      </c>
      <c r="BM48" s="6">
        <v>30</v>
      </c>
      <c r="BN48" s="6">
        <v>10</v>
      </c>
      <c r="BO48" s="6">
        <v>10</v>
      </c>
      <c r="BP48" s="5"/>
      <c r="BQ48" s="43">
        <v>0.2</v>
      </c>
      <c r="BR48" s="43">
        <v>0.02</v>
      </c>
      <c r="BS48" s="43">
        <v>2.2000000000000002</v>
      </c>
      <c r="BT48" s="44">
        <v>0.02</v>
      </c>
      <c r="BU48" s="43">
        <v>-7.0000000000000007E-2</v>
      </c>
      <c r="BV48" s="5"/>
      <c r="BW48" s="43">
        <v>0.05</v>
      </c>
      <c r="BX48" s="43">
        <v>0.32</v>
      </c>
      <c r="BY48" s="43">
        <v>0.4</v>
      </c>
      <c r="BZ48" s="44">
        <v>0</v>
      </c>
      <c r="CA48" s="43">
        <v>0.03</v>
      </c>
      <c r="CB48" s="5"/>
      <c r="CC48" s="45">
        <f t="shared" si="41"/>
        <v>-1.5000000000000003E-2</v>
      </c>
      <c r="CD48" s="45">
        <f t="shared" si="42"/>
        <v>7.4999999999999997E-3</v>
      </c>
      <c r="CE48" s="45">
        <f t="shared" si="43"/>
        <v>-6.0000000000000012E-2</v>
      </c>
      <c r="CF48" s="46">
        <f t="shared" si="44"/>
        <v>-2E-3</v>
      </c>
      <c r="CG48" s="45">
        <f t="shared" si="45"/>
        <v>0.01</v>
      </c>
      <c r="CH48" s="5"/>
      <c r="CI48" s="44">
        <f t="shared" si="46"/>
        <v>10</v>
      </c>
      <c r="CJ48" s="44">
        <f t="shared" si="47"/>
        <v>4.5523371035458338</v>
      </c>
      <c r="CK48" s="44">
        <f t="shared" si="48"/>
        <v>24.381595186400325</v>
      </c>
      <c r="CL48" s="44">
        <f t="shared" si="49"/>
        <v>10</v>
      </c>
      <c r="CM48" s="44">
        <f t="shared" si="50"/>
        <v>9.4605648436762184</v>
      </c>
      <c r="CN48" s="47">
        <f t="shared" si="51"/>
        <v>0</v>
      </c>
      <c r="CO48" s="5"/>
      <c r="CP48" s="47">
        <f t="shared" si="52"/>
        <v>3.3117846819723316E-2</v>
      </c>
      <c r="CQ48" s="47">
        <f t="shared" si="53"/>
        <v>4.1857471723406231E-2</v>
      </c>
      <c r="CR48" s="47">
        <f t="shared" si="54"/>
        <v>1.4571042888159806</v>
      </c>
      <c r="CS48" s="47">
        <f t="shared" si="55"/>
        <v>0.70000000000000018</v>
      </c>
      <c r="CT48" s="47">
        <f t="shared" si="56"/>
        <v>2.1605648436762177E-2</v>
      </c>
      <c r="CU48" s="47">
        <f t="shared" si="57"/>
        <v>2.2536852557958724</v>
      </c>
    </row>
    <row r="49" spans="1:99" ht="15" customHeight="1">
      <c r="A49" s="5"/>
      <c r="B49" s="37" t="s">
        <v>20</v>
      </c>
      <c r="C49" s="37" t="s">
        <v>252</v>
      </c>
      <c r="D49" s="37" t="s">
        <v>255</v>
      </c>
      <c r="E49" s="26">
        <v>42551</v>
      </c>
      <c r="F49" s="38">
        <f t="shared" si="37"/>
        <v>61.163460849741604</v>
      </c>
      <c r="G49" s="4">
        <f>I49-19443848-143222245</f>
        <v>21435957</v>
      </c>
      <c r="H49" s="4">
        <f>75289695-6508110-65117042</f>
        <v>3664543</v>
      </c>
      <c r="I49" s="4">
        <v>184102050</v>
      </c>
      <c r="J49" s="4">
        <v>109842323</v>
      </c>
      <c r="K49" s="4">
        <v>3190834</v>
      </c>
      <c r="L49" s="4">
        <v>53561968</v>
      </c>
      <c r="M49" s="4">
        <v>532935</v>
      </c>
      <c r="N49" s="4">
        <v>12591558</v>
      </c>
      <c r="O49" s="4">
        <v>14155167</v>
      </c>
      <c r="P49" s="4">
        <f t="shared" si="65"/>
        <v>80841628</v>
      </c>
      <c r="Q49" s="4">
        <v>83234781</v>
      </c>
      <c r="R49" s="4">
        <v>-2393153</v>
      </c>
      <c r="S49" s="27">
        <v>72897907</v>
      </c>
      <c r="T49" s="27">
        <v>74316775</v>
      </c>
      <c r="U49" s="27">
        <v>79356109</v>
      </c>
      <c r="V49" s="27">
        <v>87450269</v>
      </c>
      <c r="W49" s="27">
        <v>-126475</v>
      </c>
      <c r="X49" s="27">
        <v>6508110</v>
      </c>
      <c r="Y49" s="27">
        <v>6575595</v>
      </c>
      <c r="Z49" s="27">
        <v>7875600</v>
      </c>
      <c r="AA49" s="27">
        <f>71625152-Z49-Y49-X49</f>
        <v>50665847</v>
      </c>
      <c r="AB49" s="27">
        <f t="shared" si="63"/>
        <v>71625152</v>
      </c>
      <c r="AC49" s="27">
        <v>7875600</v>
      </c>
      <c r="AD49" s="27">
        <v>0</v>
      </c>
      <c r="AE49" s="27">
        <f t="shared" si="61"/>
        <v>7875600</v>
      </c>
      <c r="AF49" s="27">
        <v>0</v>
      </c>
      <c r="AG49" s="27">
        <v>939400</v>
      </c>
      <c r="AH49" s="27">
        <v>827600</v>
      </c>
      <c r="AI49" s="27">
        <v>112400</v>
      </c>
      <c r="AJ49" s="26">
        <v>41821</v>
      </c>
      <c r="AK49" s="39">
        <v>0</v>
      </c>
      <c r="AL49" s="39">
        <v>10485000</v>
      </c>
      <c r="AM49" s="39">
        <f t="shared" si="64"/>
        <v>10485000</v>
      </c>
      <c r="AN49" s="54">
        <f t="shared" si="62"/>
        <v>0</v>
      </c>
      <c r="AO49" s="40">
        <v>0.04</v>
      </c>
      <c r="AP49" s="41"/>
      <c r="AQ49" s="27">
        <v>926720</v>
      </c>
      <c r="AR49" s="27">
        <v>938749</v>
      </c>
      <c r="AS49" s="27">
        <v>0</v>
      </c>
      <c r="AT49" s="27">
        <v>0</v>
      </c>
      <c r="AU49" s="27">
        <v>0</v>
      </c>
      <c r="AV49" s="27">
        <v>744511</v>
      </c>
      <c r="AW49" s="27">
        <v>5149384</v>
      </c>
      <c r="AX49" s="27">
        <f t="shared" si="59"/>
        <v>5893895</v>
      </c>
      <c r="AY49" s="27">
        <v>647805</v>
      </c>
      <c r="AZ49" s="27">
        <v>3106876</v>
      </c>
      <c r="BA49" s="27">
        <v>1652194</v>
      </c>
      <c r="BB49" s="27">
        <v>744511</v>
      </c>
      <c r="BC49" s="27">
        <v>5149384</v>
      </c>
      <c r="BD49" s="27">
        <f t="shared" si="60"/>
        <v>11300770</v>
      </c>
      <c r="BE49" s="29">
        <f t="shared" si="38"/>
        <v>1.1463401009192938E-2</v>
      </c>
      <c r="BF49" s="29">
        <f t="shared" si="39"/>
        <v>7.930773368462235E-2</v>
      </c>
      <c r="BG49" s="29">
        <f t="shared" si="40"/>
        <v>0.80465421849248264</v>
      </c>
      <c r="BH49" s="42">
        <f>VLOOKUP(B49,Unemployment!$A$2:$F$193,6,0)</f>
        <v>-0.60000000000000053</v>
      </c>
      <c r="BI49" s="29">
        <f>VLOOKUP(B49,Zillow!$C$11:$R$193,16,0)</f>
        <v>3.0241308099238952E-2</v>
      </c>
      <c r="BJ49" s="5"/>
      <c r="BK49" s="6">
        <v>10</v>
      </c>
      <c r="BL49" s="6">
        <v>40</v>
      </c>
      <c r="BM49" s="6">
        <v>30</v>
      </c>
      <c r="BN49" s="6">
        <v>10</v>
      </c>
      <c r="BO49" s="6">
        <v>10</v>
      </c>
      <c r="BP49" s="5"/>
      <c r="BQ49" s="43">
        <v>0.2</v>
      </c>
      <c r="BR49" s="43">
        <v>0.02</v>
      </c>
      <c r="BS49" s="43">
        <v>2.2000000000000002</v>
      </c>
      <c r="BT49" s="44">
        <v>0.02</v>
      </c>
      <c r="BU49" s="43">
        <v>-7.0000000000000007E-2</v>
      </c>
      <c r="BV49" s="5"/>
      <c r="BW49" s="43">
        <v>0.05</v>
      </c>
      <c r="BX49" s="43">
        <v>0.32</v>
      </c>
      <c r="BY49" s="43">
        <v>0.4</v>
      </c>
      <c r="BZ49" s="44">
        <v>0</v>
      </c>
      <c r="CA49" s="43">
        <v>0.03</v>
      </c>
      <c r="CB49" s="5"/>
      <c r="CC49" s="45">
        <f t="shared" si="41"/>
        <v>-1.5000000000000003E-2</v>
      </c>
      <c r="CD49" s="45">
        <f t="shared" si="42"/>
        <v>7.4999999999999997E-3</v>
      </c>
      <c r="CE49" s="45">
        <f t="shared" si="43"/>
        <v>-6.0000000000000012E-2</v>
      </c>
      <c r="CF49" s="46">
        <f t="shared" si="44"/>
        <v>-2E-3</v>
      </c>
      <c r="CG49" s="45">
        <f t="shared" si="45"/>
        <v>0.01</v>
      </c>
      <c r="CH49" s="5"/>
      <c r="CI49" s="44">
        <f t="shared" si="46"/>
        <v>10</v>
      </c>
      <c r="CJ49" s="44">
        <f t="shared" si="47"/>
        <v>7.9076978246163128</v>
      </c>
      <c r="CK49" s="44">
        <f t="shared" si="48"/>
        <v>23.25576302512529</v>
      </c>
      <c r="CL49" s="44">
        <f t="shared" si="49"/>
        <v>10</v>
      </c>
      <c r="CM49" s="44">
        <f t="shared" si="50"/>
        <v>10</v>
      </c>
      <c r="CN49" s="47">
        <f t="shared" si="51"/>
        <v>0</v>
      </c>
      <c r="CO49" s="5"/>
      <c r="CP49" s="47">
        <f t="shared" si="52"/>
        <v>1.8963401009192939E-2</v>
      </c>
      <c r="CQ49" s="47">
        <f t="shared" si="53"/>
        <v>1.6692266315377638E-2</v>
      </c>
      <c r="CR49" s="47">
        <f t="shared" si="54"/>
        <v>1.5246542184924827</v>
      </c>
      <c r="CS49" s="47">
        <f t="shared" si="55"/>
        <v>0.60000000000000053</v>
      </c>
      <c r="CT49" s="47">
        <f t="shared" si="56"/>
        <v>2.7241308099238953E-2</v>
      </c>
      <c r="CU49" s="47">
        <f t="shared" si="57"/>
        <v>2.1875511939162928</v>
      </c>
    </row>
    <row r="50" spans="1:99" ht="15" customHeight="1">
      <c r="A50" s="5"/>
      <c r="B50" s="37" t="s">
        <v>154</v>
      </c>
      <c r="C50" s="37" t="s">
        <v>252</v>
      </c>
      <c r="D50" s="37" t="s">
        <v>255</v>
      </c>
      <c r="E50" s="26">
        <v>42551</v>
      </c>
      <c r="F50" s="38">
        <f t="shared" si="37"/>
        <v>86.507610600212942</v>
      </c>
      <c r="G50" s="4">
        <f>I50-10071882-47645858</f>
        <v>21381463</v>
      </c>
      <c r="H50" s="4">
        <f>22693192-12825027-800534</f>
        <v>9067631</v>
      </c>
      <c r="I50" s="4">
        <v>79099203</v>
      </c>
      <c r="J50" s="4">
        <v>57878358</v>
      </c>
      <c r="K50" s="4">
        <v>10630484</v>
      </c>
      <c r="L50" s="4">
        <v>29704486</v>
      </c>
      <c r="M50" s="4">
        <v>2818717</v>
      </c>
      <c r="N50" s="4">
        <v>3897607</v>
      </c>
      <c r="O50" s="4">
        <v>10869596</v>
      </c>
      <c r="P50" s="4">
        <f t="shared" si="65"/>
        <v>47290406</v>
      </c>
      <c r="Q50" s="4">
        <v>44883738</v>
      </c>
      <c r="R50" s="4">
        <v>2406668</v>
      </c>
      <c r="S50" s="27">
        <v>38819780</v>
      </c>
      <c r="T50" s="27">
        <v>37544532</v>
      </c>
      <c r="U50" s="27">
        <v>47538496</v>
      </c>
      <c r="V50" s="27">
        <v>49693860</v>
      </c>
      <c r="W50" s="27">
        <v>504020</v>
      </c>
      <c r="X50" s="27">
        <v>800534</v>
      </c>
      <c r="Y50" s="27">
        <v>5495643</v>
      </c>
      <c r="Z50" s="27">
        <v>544877</v>
      </c>
      <c r="AA50" s="27">
        <f>13625561-Z50-Y50-X50</f>
        <v>6784507</v>
      </c>
      <c r="AB50" s="27">
        <f t="shared" si="63"/>
        <v>13625561</v>
      </c>
      <c r="AC50" s="27">
        <v>544877</v>
      </c>
      <c r="AD50" s="27">
        <v>0</v>
      </c>
      <c r="AE50" s="27">
        <f t="shared" si="61"/>
        <v>544877</v>
      </c>
      <c r="AF50" s="27">
        <v>0</v>
      </c>
      <c r="AG50" s="27">
        <v>285282</v>
      </c>
      <c r="AH50" s="27">
        <v>289894</v>
      </c>
      <c r="AI50" s="27">
        <v>359104</v>
      </c>
      <c r="AJ50" s="26">
        <v>41821</v>
      </c>
      <c r="AK50" s="39">
        <v>455111</v>
      </c>
      <c r="AL50" s="39">
        <v>3472085</v>
      </c>
      <c r="AM50" s="39">
        <f t="shared" si="64"/>
        <v>3016974</v>
      </c>
      <c r="AN50" s="54">
        <f t="shared" si="62"/>
        <v>0.13107714816889562</v>
      </c>
      <c r="AO50" s="40">
        <v>7.0000000000000007E-2</v>
      </c>
      <c r="AP50" s="54">
        <v>0.03</v>
      </c>
      <c r="AQ50" s="27">
        <v>862350</v>
      </c>
      <c r="AR50" s="27">
        <v>912750</v>
      </c>
      <c r="AS50" s="27">
        <v>0</v>
      </c>
      <c r="AT50" s="27">
        <v>0</v>
      </c>
      <c r="AU50" s="27">
        <v>303401</v>
      </c>
      <c r="AV50" s="27">
        <v>895256</v>
      </c>
      <c r="AW50" s="27">
        <v>7995983</v>
      </c>
      <c r="AX50" s="27">
        <f t="shared" si="59"/>
        <v>9194640</v>
      </c>
      <c r="AY50" s="27">
        <f>7538+37817+832928</f>
        <v>878283</v>
      </c>
      <c r="AZ50" s="27">
        <v>0</v>
      </c>
      <c r="BA50" s="27">
        <f>1296723+2392041</f>
        <v>3688764</v>
      </c>
      <c r="BB50" s="27">
        <v>895256</v>
      </c>
      <c r="BC50" s="27">
        <v>7990933</v>
      </c>
      <c r="BD50" s="27">
        <f t="shared" si="60"/>
        <v>13453236</v>
      </c>
      <c r="BE50" s="29">
        <f t="shared" si="38"/>
        <v>1.8235199757007797E-2</v>
      </c>
      <c r="BF50" s="29">
        <f t="shared" si="39"/>
        <v>0.24489957685449376</v>
      </c>
      <c r="BG50" s="29">
        <f t="shared" si="40"/>
        <v>0.17191474312992788</v>
      </c>
      <c r="BH50" s="42">
        <f>VLOOKUP(B50,Unemployment!$A$2:$F$193,6,0)</f>
        <v>-0.39999999999999947</v>
      </c>
      <c r="BI50" s="29">
        <f>VLOOKUP(B50,Zillow!$C$11:$R$193,16,0)</f>
        <v>-4.7899964705290336E-3</v>
      </c>
      <c r="BJ50" s="5"/>
      <c r="BK50" s="6">
        <v>10</v>
      </c>
      <c r="BL50" s="6">
        <v>40</v>
      </c>
      <c r="BM50" s="6">
        <v>30</v>
      </c>
      <c r="BN50" s="6">
        <v>10</v>
      </c>
      <c r="BO50" s="6">
        <v>10</v>
      </c>
      <c r="BP50" s="5"/>
      <c r="BQ50" s="43">
        <v>0.2</v>
      </c>
      <c r="BR50" s="43">
        <v>0.02</v>
      </c>
      <c r="BS50" s="43">
        <v>2.2000000000000002</v>
      </c>
      <c r="BT50" s="44">
        <v>0.02</v>
      </c>
      <c r="BU50" s="43">
        <v>-7.0000000000000007E-2</v>
      </c>
      <c r="BV50" s="5"/>
      <c r="BW50" s="43">
        <v>0.05</v>
      </c>
      <c r="BX50" s="43">
        <v>0.32</v>
      </c>
      <c r="BY50" s="43">
        <v>0.4</v>
      </c>
      <c r="BZ50" s="44">
        <v>0</v>
      </c>
      <c r="CA50" s="43">
        <v>0.03</v>
      </c>
      <c r="CB50" s="5"/>
      <c r="CC50" s="45">
        <f t="shared" si="41"/>
        <v>-1.5000000000000003E-2</v>
      </c>
      <c r="CD50" s="45">
        <f t="shared" si="42"/>
        <v>7.4999999999999997E-3</v>
      </c>
      <c r="CE50" s="45">
        <f t="shared" si="43"/>
        <v>-6.0000000000000012E-2</v>
      </c>
      <c r="CF50" s="46">
        <f t="shared" si="44"/>
        <v>-2E-3</v>
      </c>
      <c r="CG50" s="45">
        <f t="shared" si="45"/>
        <v>0.01</v>
      </c>
      <c r="CH50" s="5"/>
      <c r="CI50" s="44">
        <f t="shared" si="46"/>
        <v>10</v>
      </c>
      <c r="CJ50" s="44">
        <f t="shared" si="47"/>
        <v>29.986610247265837</v>
      </c>
      <c r="CK50" s="44">
        <f t="shared" si="48"/>
        <v>30</v>
      </c>
      <c r="CL50" s="44">
        <f t="shared" si="49"/>
        <v>10</v>
      </c>
      <c r="CM50" s="44">
        <f t="shared" si="50"/>
        <v>6.5210003529470972</v>
      </c>
      <c r="CN50" s="47">
        <f t="shared" si="51"/>
        <v>0</v>
      </c>
      <c r="CO50" s="5"/>
      <c r="CP50" s="47">
        <f t="shared" si="52"/>
        <v>2.57351997570078E-2</v>
      </c>
      <c r="CQ50" s="47">
        <f t="shared" si="53"/>
        <v>0.14889957685449379</v>
      </c>
      <c r="CR50" s="47">
        <f t="shared" si="54"/>
        <v>0.89191474312992813</v>
      </c>
      <c r="CS50" s="47">
        <f t="shared" si="55"/>
        <v>0.39999999999999947</v>
      </c>
      <c r="CT50" s="47">
        <f t="shared" si="56"/>
        <v>7.7899964705290328E-3</v>
      </c>
      <c r="CU50" s="47">
        <f t="shared" si="57"/>
        <v>1.4743395162119581</v>
      </c>
    </row>
    <row r="51" spans="1:99" ht="15" customHeight="1">
      <c r="A51" s="5"/>
      <c r="B51" s="37" t="s">
        <v>165</v>
      </c>
      <c r="C51" s="37" t="s">
        <v>252</v>
      </c>
      <c r="D51" s="37" t="s">
        <v>255</v>
      </c>
      <c r="E51" s="26">
        <v>42551</v>
      </c>
      <c r="F51" s="38">
        <f t="shared" si="37"/>
        <v>97.500317102388834</v>
      </c>
      <c r="G51" s="4">
        <f>I51-550355-3600388</f>
        <v>2510035</v>
      </c>
      <c r="H51" s="4">
        <f>1302127-62155-988939</f>
        <v>251033</v>
      </c>
      <c r="I51" s="4">
        <v>6660778</v>
      </c>
      <c r="J51" s="4">
        <v>5358651</v>
      </c>
      <c r="K51" s="4">
        <v>1141361</v>
      </c>
      <c r="L51" s="4">
        <v>3654149</v>
      </c>
      <c r="M51" s="4">
        <v>175010</v>
      </c>
      <c r="N51" s="4">
        <v>146497</v>
      </c>
      <c r="O51" s="4">
        <v>2181103</v>
      </c>
      <c r="P51" s="4">
        <f t="shared" si="65"/>
        <v>6156759</v>
      </c>
      <c r="Q51" s="4">
        <v>5938177</v>
      </c>
      <c r="R51" s="4">
        <v>218582</v>
      </c>
      <c r="S51" s="27">
        <v>5443372</v>
      </c>
      <c r="T51" s="27">
        <v>5227021</v>
      </c>
      <c r="U51" s="27">
        <v>6156760</v>
      </c>
      <c r="V51" s="27">
        <v>6300116</v>
      </c>
      <c r="W51" s="27">
        <v>-213649</v>
      </c>
      <c r="X51" s="27">
        <v>62155</v>
      </c>
      <c r="Y51" s="27">
        <v>0</v>
      </c>
      <c r="Z51" s="27">
        <v>898040</v>
      </c>
      <c r="AA51" s="27">
        <f>1051094-Z51-X51</f>
        <v>90899</v>
      </c>
      <c r="AB51" s="27">
        <f t="shared" si="63"/>
        <v>1051094</v>
      </c>
      <c r="AC51" s="27">
        <v>898040</v>
      </c>
      <c r="AD51" s="27">
        <v>0</v>
      </c>
      <c r="AE51" s="27">
        <f t="shared" si="61"/>
        <v>898040</v>
      </c>
      <c r="AF51" s="27">
        <v>0</v>
      </c>
      <c r="AG51" s="27">
        <v>55600</v>
      </c>
      <c r="AH51" s="27">
        <v>41419</v>
      </c>
      <c r="AI51" s="27">
        <v>0</v>
      </c>
      <c r="AJ51" s="26">
        <v>42186</v>
      </c>
      <c r="AK51" s="39">
        <v>0</v>
      </c>
      <c r="AL51" s="39">
        <v>483000</v>
      </c>
      <c r="AM51" s="39">
        <f t="shared" si="64"/>
        <v>483000</v>
      </c>
      <c r="AN51" s="54">
        <f t="shared" si="62"/>
        <v>0</v>
      </c>
      <c r="AO51" s="40">
        <v>0.03</v>
      </c>
      <c r="AP51" s="50" t="s">
        <v>283</v>
      </c>
      <c r="AQ51" s="27">
        <v>0</v>
      </c>
      <c r="AR51" s="27">
        <v>0</v>
      </c>
      <c r="AS51" s="27">
        <v>0</v>
      </c>
      <c r="AT51" s="27">
        <v>1109</v>
      </c>
      <c r="AU51" s="27">
        <v>437194</v>
      </c>
      <c r="AV51" s="27">
        <v>52028</v>
      </c>
      <c r="AW51" s="27">
        <v>1318406</v>
      </c>
      <c r="AX51" s="27">
        <f t="shared" si="59"/>
        <v>1808737</v>
      </c>
      <c r="AY51" s="27">
        <v>2850</v>
      </c>
      <c r="AZ51" s="27">
        <v>63697</v>
      </c>
      <c r="BA51" s="27">
        <v>794609</v>
      </c>
      <c r="BB51" s="27">
        <v>68358</v>
      </c>
      <c r="BC51" s="27">
        <v>1329487</v>
      </c>
      <c r="BD51" s="27">
        <f t="shared" si="60"/>
        <v>2259001</v>
      </c>
      <c r="BE51" s="29">
        <f t="shared" si="38"/>
        <v>0</v>
      </c>
      <c r="BF51" s="29">
        <f t="shared" si="39"/>
        <v>0.34603591606002732</v>
      </c>
      <c r="BG51" s="29">
        <f t="shared" si="40"/>
        <v>0.17072196589146985</v>
      </c>
      <c r="BH51" s="42">
        <f>VLOOKUP(B51,Unemployment!$A$2:$F$193,6,0)</f>
        <v>-0.29999999999999982</v>
      </c>
      <c r="BI51" s="29">
        <f>VLOOKUP(B51,Zillow!$C$11:$R$193,16,0)</f>
        <v>5.0031710238882974E-3</v>
      </c>
      <c r="BJ51" s="5"/>
      <c r="BK51" s="6">
        <v>10</v>
      </c>
      <c r="BL51" s="6">
        <v>40</v>
      </c>
      <c r="BM51" s="6">
        <v>30</v>
      </c>
      <c r="BN51" s="6">
        <v>10</v>
      </c>
      <c r="BO51" s="6">
        <v>10</v>
      </c>
      <c r="BP51" s="5"/>
      <c r="BQ51" s="43">
        <v>0.2</v>
      </c>
      <c r="BR51" s="43">
        <v>0.02</v>
      </c>
      <c r="BS51" s="43">
        <v>2.2000000000000002</v>
      </c>
      <c r="BT51" s="44">
        <v>0.02</v>
      </c>
      <c r="BU51" s="43">
        <v>-7.0000000000000007E-2</v>
      </c>
      <c r="BV51" s="5"/>
      <c r="BW51" s="43">
        <v>0.05</v>
      </c>
      <c r="BX51" s="43">
        <v>0.32</v>
      </c>
      <c r="BY51" s="43">
        <v>0.4</v>
      </c>
      <c r="BZ51" s="44">
        <v>0</v>
      </c>
      <c r="CA51" s="43">
        <v>0.03</v>
      </c>
      <c r="CB51" s="5"/>
      <c r="CC51" s="45">
        <f t="shared" si="41"/>
        <v>-1.5000000000000003E-2</v>
      </c>
      <c r="CD51" s="45">
        <f t="shared" si="42"/>
        <v>7.4999999999999997E-3</v>
      </c>
      <c r="CE51" s="45">
        <f t="shared" si="43"/>
        <v>-6.0000000000000012E-2</v>
      </c>
      <c r="CF51" s="46">
        <f t="shared" si="44"/>
        <v>-2E-3</v>
      </c>
      <c r="CG51" s="45">
        <f t="shared" si="45"/>
        <v>0.01</v>
      </c>
      <c r="CH51" s="5"/>
      <c r="CI51" s="44">
        <f t="shared" si="46"/>
        <v>10</v>
      </c>
      <c r="CJ51" s="44">
        <f t="shared" si="47"/>
        <v>40</v>
      </c>
      <c r="CK51" s="44">
        <f t="shared" si="48"/>
        <v>30</v>
      </c>
      <c r="CL51" s="44">
        <f t="shared" si="49"/>
        <v>10</v>
      </c>
      <c r="CM51" s="44">
        <f t="shared" si="50"/>
        <v>7.5003171023888298</v>
      </c>
      <c r="CN51" s="47">
        <f t="shared" si="51"/>
        <v>0</v>
      </c>
      <c r="CO51" s="5"/>
      <c r="CP51" s="47">
        <f t="shared" si="52"/>
        <v>7.5000000000000023E-3</v>
      </c>
      <c r="CQ51" s="47">
        <f t="shared" si="53"/>
        <v>0.25003591606002734</v>
      </c>
      <c r="CR51" s="47">
        <f t="shared" si="54"/>
        <v>0.89072196589147001</v>
      </c>
      <c r="CS51" s="47">
        <f t="shared" si="55"/>
        <v>0.29999999999999982</v>
      </c>
      <c r="CT51" s="47">
        <f t="shared" si="56"/>
        <v>2.0031710238882978E-3</v>
      </c>
      <c r="CU51" s="47">
        <f t="shared" si="57"/>
        <v>1.4502610529753854</v>
      </c>
    </row>
    <row r="52" spans="1:99" ht="15" customHeight="1">
      <c r="A52" s="5"/>
      <c r="B52" s="37" t="s">
        <v>75</v>
      </c>
      <c r="C52" s="37" t="s">
        <v>252</v>
      </c>
      <c r="D52" s="37" t="s">
        <v>255</v>
      </c>
      <c r="E52" s="26">
        <v>42551</v>
      </c>
      <c r="F52" s="38">
        <f t="shared" si="37"/>
        <v>71.559014295054681</v>
      </c>
      <c r="G52" s="4">
        <v>14476168</v>
      </c>
      <c r="H52" s="4">
        <f>35468660-3223418-24686555</f>
        <v>7558687</v>
      </c>
      <c r="I52" s="4">
        <v>103587992</v>
      </c>
      <c r="J52" s="4">
        <v>70481820</v>
      </c>
      <c r="K52" s="4">
        <v>6376803</v>
      </c>
      <c r="L52" s="4">
        <v>41137462</v>
      </c>
      <c r="M52" s="4">
        <v>0</v>
      </c>
      <c r="N52" s="4">
        <v>2367435</v>
      </c>
      <c r="O52" s="4">
        <v>2720348</v>
      </c>
      <c r="P52" s="4">
        <f t="shared" si="65"/>
        <v>46225245</v>
      </c>
      <c r="Q52" s="4">
        <v>43506413</v>
      </c>
      <c r="R52" s="4">
        <v>2718832</v>
      </c>
      <c r="S52" s="27">
        <v>45911791</v>
      </c>
      <c r="T52" s="27">
        <v>44255566</v>
      </c>
      <c r="U52" s="27">
        <v>47347650</v>
      </c>
      <c r="V52" s="27">
        <v>45701055</v>
      </c>
      <c r="W52" s="27">
        <v>768801</v>
      </c>
      <c r="X52" s="27">
        <v>3223418</v>
      </c>
      <c r="Y52" s="27">
        <f>3205945+1540446</f>
        <v>4746391</v>
      </c>
      <c r="Z52" s="27">
        <v>957470</v>
      </c>
      <c r="AA52" s="27">
        <f>27909973-Z52-Y52-X52</f>
        <v>18982694</v>
      </c>
      <c r="AB52" s="27">
        <f t="shared" si="63"/>
        <v>27909973</v>
      </c>
      <c r="AC52" s="27">
        <v>957470</v>
      </c>
      <c r="AD52" s="27">
        <v>0</v>
      </c>
      <c r="AE52" s="27">
        <f t="shared" si="61"/>
        <v>957470</v>
      </c>
      <c r="AF52" s="27">
        <v>0</v>
      </c>
      <c r="AG52" s="27">
        <v>173637</v>
      </c>
      <c r="AH52" s="27">
        <v>149492</v>
      </c>
      <c r="AI52" s="27">
        <v>738055</v>
      </c>
      <c r="AJ52" s="26">
        <v>41821</v>
      </c>
      <c r="AK52" s="39">
        <v>0</v>
      </c>
      <c r="AL52" s="39">
        <v>1850910</v>
      </c>
      <c r="AM52" s="39">
        <f t="shared" si="64"/>
        <v>1850910</v>
      </c>
      <c r="AN52" s="54">
        <f t="shared" si="62"/>
        <v>0</v>
      </c>
      <c r="AO52" s="40">
        <v>0.04</v>
      </c>
      <c r="AP52" s="50" t="s">
        <v>284</v>
      </c>
      <c r="AQ52" s="27">
        <f>409886+377554</f>
        <v>787440</v>
      </c>
      <c r="AR52" s="27">
        <f>424000+377554</f>
        <v>801554</v>
      </c>
      <c r="AS52" s="27">
        <v>0</v>
      </c>
      <c r="AT52" s="27">
        <v>0</v>
      </c>
      <c r="AU52" s="27">
        <v>0</v>
      </c>
      <c r="AV52" s="27">
        <v>640000</v>
      </c>
      <c r="AW52" s="27">
        <v>6305761</v>
      </c>
      <c r="AX52" s="27">
        <f t="shared" si="59"/>
        <v>6945761</v>
      </c>
      <c r="AY52" s="27">
        <v>0</v>
      </c>
      <c r="AZ52" s="27">
        <v>198611</v>
      </c>
      <c r="BA52" s="27">
        <v>2899164</v>
      </c>
      <c r="BB52" s="27">
        <v>640000</v>
      </c>
      <c r="BC52" s="27">
        <v>2333526</v>
      </c>
      <c r="BD52" s="27">
        <f t="shared" si="60"/>
        <v>6071301</v>
      </c>
      <c r="BE52" s="29">
        <f t="shared" si="38"/>
        <v>1.7034847516762756E-2</v>
      </c>
      <c r="BF52" s="29">
        <f t="shared" si="39"/>
        <v>0.15694660870454125</v>
      </c>
      <c r="BG52" s="29">
        <f t="shared" si="40"/>
        <v>0.50110241708832481</v>
      </c>
      <c r="BH52" s="42">
        <f>VLOOKUP(B52,Unemployment!$A$2:$F$193,6,0)</f>
        <v>-0.39999999999999991</v>
      </c>
      <c r="BI52" s="29">
        <f>VLOOKUP(B52,Zillow!$C$11:$R$193,16,0)</f>
        <v>-2.0154932474120795E-2</v>
      </c>
      <c r="BJ52" s="5"/>
      <c r="BK52" s="6">
        <v>10</v>
      </c>
      <c r="BL52" s="6">
        <v>40</v>
      </c>
      <c r="BM52" s="6">
        <v>30</v>
      </c>
      <c r="BN52" s="6">
        <v>10</v>
      </c>
      <c r="BO52" s="6">
        <v>10</v>
      </c>
      <c r="BP52" s="5"/>
      <c r="BQ52" s="43">
        <v>0.2</v>
      </c>
      <c r="BR52" s="43">
        <v>0.02</v>
      </c>
      <c r="BS52" s="43">
        <v>2.2000000000000002</v>
      </c>
      <c r="BT52" s="44">
        <v>0.02</v>
      </c>
      <c r="BU52" s="43">
        <v>-7.0000000000000007E-2</v>
      </c>
      <c r="BV52" s="5"/>
      <c r="BW52" s="43">
        <v>0.05</v>
      </c>
      <c r="BX52" s="43">
        <v>0.32</v>
      </c>
      <c r="BY52" s="43">
        <v>0.4</v>
      </c>
      <c r="BZ52" s="44">
        <v>0</v>
      </c>
      <c r="CA52" s="43">
        <v>0.03</v>
      </c>
      <c r="CB52" s="5"/>
      <c r="CC52" s="45">
        <f t="shared" si="41"/>
        <v>-1.5000000000000003E-2</v>
      </c>
      <c r="CD52" s="45">
        <f t="shared" si="42"/>
        <v>7.4999999999999997E-3</v>
      </c>
      <c r="CE52" s="45">
        <f t="shared" si="43"/>
        <v>-6.0000000000000012E-2</v>
      </c>
      <c r="CF52" s="46">
        <f t="shared" si="44"/>
        <v>-2E-3</v>
      </c>
      <c r="CG52" s="45">
        <f t="shared" si="45"/>
        <v>0.01</v>
      </c>
      <c r="CH52" s="5"/>
      <c r="CI52" s="44">
        <f t="shared" si="46"/>
        <v>10</v>
      </c>
      <c r="CJ52" s="44">
        <f t="shared" si="47"/>
        <v>18.259547827272169</v>
      </c>
      <c r="CK52" s="44">
        <f t="shared" si="48"/>
        <v>28.314959715194586</v>
      </c>
      <c r="CL52" s="44">
        <f t="shared" si="49"/>
        <v>10</v>
      </c>
      <c r="CM52" s="44">
        <f t="shared" si="50"/>
        <v>4.9845067525879205</v>
      </c>
      <c r="CN52" s="47">
        <f t="shared" si="51"/>
        <v>0</v>
      </c>
      <c r="CO52" s="5"/>
      <c r="CP52" s="47">
        <f t="shared" si="52"/>
        <v>2.453484751676276E-2</v>
      </c>
      <c r="CQ52" s="47">
        <f t="shared" si="53"/>
        <v>6.0946608704541258E-2</v>
      </c>
      <c r="CR52" s="47">
        <f t="shared" si="54"/>
        <v>1.2211024170883249</v>
      </c>
      <c r="CS52" s="47">
        <f t="shared" si="55"/>
        <v>0.39999999999999991</v>
      </c>
      <c r="CT52" s="47">
        <f t="shared" si="56"/>
        <v>2.3154932474120794E-2</v>
      </c>
      <c r="CU52" s="47">
        <f t="shared" si="57"/>
        <v>1.7297388057837495</v>
      </c>
    </row>
    <row r="53" spans="1:99" ht="15" customHeight="1">
      <c r="A53" s="5"/>
      <c r="B53" s="37" t="s">
        <v>149</v>
      </c>
      <c r="C53" s="37" t="s">
        <v>252</v>
      </c>
      <c r="D53" s="37" t="s">
        <v>255</v>
      </c>
      <c r="E53" s="26">
        <v>42551</v>
      </c>
      <c r="F53" s="38">
        <f t="shared" si="37"/>
        <v>83.830289164979732</v>
      </c>
      <c r="G53" s="4">
        <f>I53-26211586-67632135</f>
        <v>21341527</v>
      </c>
      <c r="H53" s="4">
        <f>3344012+15242+692725</f>
        <v>4051979</v>
      </c>
      <c r="I53" s="4">
        <v>115185248</v>
      </c>
      <c r="J53" s="4">
        <v>83577533</v>
      </c>
      <c r="K53" s="4">
        <v>7887396</v>
      </c>
      <c r="L53" s="4">
        <v>40876935</v>
      </c>
      <c r="M53" s="4">
        <v>634113</v>
      </c>
      <c r="N53" s="4">
        <v>6086655</v>
      </c>
      <c r="O53" s="4">
        <v>16167164</v>
      </c>
      <c r="P53" s="4">
        <f t="shared" si="65"/>
        <v>63764867</v>
      </c>
      <c r="Q53" s="4">
        <v>61098569</v>
      </c>
      <c r="R53" s="4">
        <v>2666298</v>
      </c>
      <c r="S53" s="27">
        <v>57771273</v>
      </c>
      <c r="T53" s="27">
        <v>56547756</v>
      </c>
      <c r="U53" s="27">
        <v>61250231</v>
      </c>
      <c r="V53" s="27">
        <v>69591720</v>
      </c>
      <c r="W53" s="27">
        <v>1174517</v>
      </c>
      <c r="X53" s="27">
        <f>2098321+175838</f>
        <v>2274159</v>
      </c>
      <c r="Y53" s="27">
        <v>2853323</v>
      </c>
      <c r="Z53" s="27">
        <v>1145260</v>
      </c>
      <c r="AA53" s="27">
        <f>1175838+26706095-Z53-Y53-X53</f>
        <v>21609191</v>
      </c>
      <c r="AB53" s="27">
        <f t="shared" si="63"/>
        <v>27881933</v>
      </c>
      <c r="AC53" s="27">
        <v>1145260</v>
      </c>
      <c r="AD53" s="27">
        <v>0</v>
      </c>
      <c r="AE53" s="27">
        <f t="shared" si="61"/>
        <v>1145260</v>
      </c>
      <c r="AF53" s="27">
        <v>0</v>
      </c>
      <c r="AG53" s="27">
        <v>361660</v>
      </c>
      <c r="AH53" s="27">
        <v>351323</v>
      </c>
      <c r="AI53" s="27">
        <v>201629</v>
      </c>
      <c r="AJ53" s="26">
        <v>41821</v>
      </c>
      <c r="AK53" s="39">
        <v>0</v>
      </c>
      <c r="AL53" s="39">
        <v>4620616</v>
      </c>
      <c r="AM53" s="39">
        <f t="shared" si="64"/>
        <v>4620616</v>
      </c>
      <c r="AN53" s="40">
        <f t="shared" si="62"/>
        <v>0</v>
      </c>
      <c r="AO53" s="40">
        <v>0.04</v>
      </c>
      <c r="AP53" s="40">
        <v>2.5000000000000001E-2</v>
      </c>
      <c r="AQ53" s="27">
        <v>587703</v>
      </c>
      <c r="AR53" s="27">
        <v>587703</v>
      </c>
      <c r="AS53" s="27">
        <v>0</v>
      </c>
      <c r="AT53" s="27">
        <v>0</v>
      </c>
      <c r="AU53" s="27">
        <f>5278650+685996</f>
        <v>5964646</v>
      </c>
      <c r="AV53" s="27">
        <f t="shared" ref="AV53:BB53" si="66">1083774+334575+48445+259407+2746580</f>
        <v>4472781</v>
      </c>
      <c r="AW53" s="27">
        <v>1750335</v>
      </c>
      <c r="AX53" s="27">
        <f t="shared" si="59"/>
        <v>12187762</v>
      </c>
      <c r="AY53" s="27">
        <f>52497+5408</f>
        <v>57905</v>
      </c>
      <c r="AZ53" s="27">
        <f>2812054+865904</f>
        <v>3677958</v>
      </c>
      <c r="BA53" s="27">
        <f>5278650+1244917+84786+494298+95416+501307+94845+70470+220440</f>
        <v>8085129</v>
      </c>
      <c r="BB53" s="27">
        <f t="shared" si="66"/>
        <v>4472781</v>
      </c>
      <c r="BC53" s="27">
        <v>-6882177</v>
      </c>
      <c r="BD53" s="27">
        <f t="shared" si="60"/>
        <v>9411596</v>
      </c>
      <c r="BE53" s="29">
        <f t="shared" si="38"/>
        <v>9.2167211765689094E-3</v>
      </c>
      <c r="BF53" s="29">
        <f t="shared" si="39"/>
        <v>0.21553042706062464</v>
      </c>
      <c r="BG53" s="29">
        <f t="shared" si="40"/>
        <v>0.3925141096899018</v>
      </c>
      <c r="BH53" s="42">
        <f>VLOOKUP(B53,Unemployment!$A$2:$F$193,6,0)</f>
        <v>-0.59999999999999964</v>
      </c>
      <c r="BI53" s="29">
        <f>VLOOKUP(B53,Zillow!$C$11:$R$193,16,0)</f>
        <v>7.5956555689644595E-3</v>
      </c>
      <c r="BJ53" s="5"/>
      <c r="BK53" s="6">
        <v>10</v>
      </c>
      <c r="BL53" s="6">
        <v>40</v>
      </c>
      <c r="BM53" s="6">
        <v>30</v>
      </c>
      <c r="BN53" s="6">
        <v>10</v>
      </c>
      <c r="BO53" s="6">
        <v>10</v>
      </c>
      <c r="BP53" s="5"/>
      <c r="BQ53" s="43">
        <v>0.2</v>
      </c>
      <c r="BR53" s="43">
        <v>0.02</v>
      </c>
      <c r="BS53" s="43">
        <v>2.2000000000000002</v>
      </c>
      <c r="BT53" s="44">
        <v>0.02</v>
      </c>
      <c r="BU53" s="43">
        <v>-7.0000000000000007E-2</v>
      </c>
      <c r="BV53" s="5"/>
      <c r="BW53" s="43">
        <v>0.05</v>
      </c>
      <c r="BX53" s="43">
        <v>0.32</v>
      </c>
      <c r="BY53" s="43">
        <v>0.4</v>
      </c>
      <c r="BZ53" s="44">
        <v>0</v>
      </c>
      <c r="CA53" s="43">
        <v>0.03</v>
      </c>
      <c r="CB53" s="5"/>
      <c r="CC53" s="45">
        <f t="shared" si="41"/>
        <v>-1.5000000000000003E-2</v>
      </c>
      <c r="CD53" s="45">
        <f t="shared" si="42"/>
        <v>7.4999999999999997E-3</v>
      </c>
      <c r="CE53" s="45">
        <f t="shared" si="43"/>
        <v>-6.0000000000000012E-2</v>
      </c>
      <c r="CF53" s="46">
        <f t="shared" si="44"/>
        <v>-2E-3</v>
      </c>
      <c r="CG53" s="45">
        <f t="shared" si="45"/>
        <v>0.01</v>
      </c>
      <c r="CH53" s="5"/>
      <c r="CI53" s="44">
        <f t="shared" si="46"/>
        <v>10</v>
      </c>
      <c r="CJ53" s="44">
        <f t="shared" si="47"/>
        <v>26.070723608083288</v>
      </c>
      <c r="CK53" s="44">
        <f t="shared" si="48"/>
        <v>30</v>
      </c>
      <c r="CL53" s="44">
        <f t="shared" si="49"/>
        <v>10</v>
      </c>
      <c r="CM53" s="44">
        <f t="shared" si="50"/>
        <v>7.7595655568964474</v>
      </c>
      <c r="CN53" s="47">
        <f t="shared" si="51"/>
        <v>0</v>
      </c>
      <c r="CO53" s="5"/>
      <c r="CP53" s="47">
        <f t="shared" si="52"/>
        <v>1.6716721176568913E-2</v>
      </c>
      <c r="CQ53" s="47">
        <f t="shared" si="53"/>
        <v>0.11953042706062465</v>
      </c>
      <c r="CR53" s="47">
        <f t="shared" si="54"/>
        <v>1.1125141096899021</v>
      </c>
      <c r="CS53" s="47">
        <f t="shared" si="55"/>
        <v>0.59999999999999964</v>
      </c>
      <c r="CT53" s="47">
        <f t="shared" si="56"/>
        <v>4.5956555689644595E-3</v>
      </c>
      <c r="CU53" s="47">
        <f t="shared" si="57"/>
        <v>1.8533569134960597</v>
      </c>
    </row>
    <row r="54" spans="1:99" ht="15" customHeight="1">
      <c r="A54" s="5"/>
      <c r="B54" s="37" t="s">
        <v>143</v>
      </c>
      <c r="C54" s="37" t="s">
        <v>252</v>
      </c>
      <c r="D54" s="37" t="s">
        <v>255</v>
      </c>
      <c r="E54" s="26">
        <v>42551</v>
      </c>
      <c r="F54" s="38">
        <f t="shared" si="37"/>
        <v>82.143906987658937</v>
      </c>
      <c r="G54" s="4">
        <f>I54-100190000-220456000</f>
        <v>57308000</v>
      </c>
      <c r="H54" s="4">
        <f>116439000-6318000-86880000</f>
        <v>23241000</v>
      </c>
      <c r="I54" s="4">
        <v>377954000</v>
      </c>
      <c r="J54" s="4">
        <v>251252000</v>
      </c>
      <c r="K54" s="4">
        <v>-17670000</v>
      </c>
      <c r="L54" s="4">
        <v>91913000</v>
      </c>
      <c r="M54" s="4">
        <v>32435000</v>
      </c>
      <c r="N54" s="4">
        <v>14178000</v>
      </c>
      <c r="O54" s="4">
        <v>50443000</v>
      </c>
      <c r="P54" s="4">
        <f t="shared" si="65"/>
        <v>188969000</v>
      </c>
      <c r="Q54" s="4">
        <v>179220000</v>
      </c>
      <c r="R54" s="4">
        <v>9749000</v>
      </c>
      <c r="S54" s="27">
        <v>140213000</v>
      </c>
      <c r="T54" s="27">
        <v>137704000</v>
      </c>
      <c r="U54" s="27">
        <v>183100000</v>
      </c>
      <c r="V54" s="27">
        <v>209319000</v>
      </c>
      <c r="W54" s="27">
        <v>788000</v>
      </c>
      <c r="X54" s="27">
        <v>6318000</v>
      </c>
      <c r="Y54" s="27">
        <v>18430000</v>
      </c>
      <c r="Z54" s="27">
        <v>3199000</v>
      </c>
      <c r="AA54" s="27">
        <f>93198000-Z54-Y54-X54</f>
        <v>65251000</v>
      </c>
      <c r="AB54" s="27">
        <f t="shared" si="63"/>
        <v>93198000</v>
      </c>
      <c r="AC54" s="27">
        <v>3199000</v>
      </c>
      <c r="AD54" s="27">
        <v>0</v>
      </c>
      <c r="AE54" s="27">
        <f t="shared" si="61"/>
        <v>3199000</v>
      </c>
      <c r="AF54" s="27">
        <v>0</v>
      </c>
      <c r="AG54" s="27">
        <v>2356000</v>
      </c>
      <c r="AH54" s="27">
        <v>2376000</v>
      </c>
      <c r="AI54" s="27">
        <v>1387000</v>
      </c>
      <c r="AJ54" s="26">
        <v>42186</v>
      </c>
      <c r="AK54" s="39">
        <v>4294000</v>
      </c>
      <c r="AL54" s="39">
        <v>33082000</v>
      </c>
      <c r="AM54" s="39">
        <f t="shared" si="64"/>
        <v>28788000</v>
      </c>
      <c r="AN54" s="54">
        <f t="shared" si="62"/>
        <v>0.12979868206275316</v>
      </c>
      <c r="AO54" s="40">
        <v>0.05</v>
      </c>
      <c r="AP54" s="40">
        <v>2.7E-2</v>
      </c>
      <c r="AQ54" s="27">
        <f t="shared" ref="AQ54:AR54" si="67">2099000+1966000</f>
        <v>4065000</v>
      </c>
      <c r="AR54" s="27">
        <f t="shared" si="67"/>
        <v>4065000</v>
      </c>
      <c r="AS54" s="27">
        <v>3521000</v>
      </c>
      <c r="AT54" s="27">
        <v>0</v>
      </c>
      <c r="AU54" s="27">
        <v>1889000</v>
      </c>
      <c r="AV54" s="27">
        <v>3110000</v>
      </c>
      <c r="AW54" s="27">
        <v>18070000</v>
      </c>
      <c r="AX54" s="27">
        <f t="shared" si="59"/>
        <v>26590000</v>
      </c>
      <c r="AY54" s="27">
        <v>3634000</v>
      </c>
      <c r="AZ54" s="27">
        <v>804000</v>
      </c>
      <c r="BA54" s="27">
        <v>7840000</v>
      </c>
      <c r="BB54" s="27">
        <v>3110000</v>
      </c>
      <c r="BC54" s="27">
        <v>1762000</v>
      </c>
      <c r="BD54" s="27">
        <f t="shared" si="60"/>
        <v>17150000</v>
      </c>
      <c r="BE54" s="29">
        <f t="shared" si="38"/>
        <v>2.151146484343993E-2</v>
      </c>
      <c r="BF54" s="29">
        <f t="shared" si="39"/>
        <v>0.19309533492128042</v>
      </c>
      <c r="BG54" s="29">
        <f t="shared" si="40"/>
        <v>0.39566278066772859</v>
      </c>
      <c r="BH54" s="42">
        <f>VLOOKUP(B54,Unemployment!$A$2:$F$193,6,0)</f>
        <v>-9.9999999999999645E-2</v>
      </c>
      <c r="BI54" s="29">
        <f>VLOOKUP(B54,Zillow!$C$11:$R$193,16,0)</f>
        <v>2.0645289981548898E-2</v>
      </c>
      <c r="BJ54" s="5"/>
      <c r="BK54" s="6">
        <v>10</v>
      </c>
      <c r="BL54" s="6">
        <v>40</v>
      </c>
      <c r="BM54" s="6">
        <v>30</v>
      </c>
      <c r="BN54" s="6">
        <v>10</v>
      </c>
      <c r="BO54" s="6">
        <v>10</v>
      </c>
      <c r="BP54" s="5"/>
      <c r="BQ54" s="43">
        <v>0.2</v>
      </c>
      <c r="BR54" s="43">
        <v>0.02</v>
      </c>
      <c r="BS54" s="43">
        <v>2.2000000000000002</v>
      </c>
      <c r="BT54" s="44">
        <v>0.02</v>
      </c>
      <c r="BU54" s="43">
        <v>-7.0000000000000007E-2</v>
      </c>
      <c r="BV54" s="5"/>
      <c r="BW54" s="43">
        <v>0.05</v>
      </c>
      <c r="BX54" s="43">
        <v>0.32</v>
      </c>
      <c r="BY54" s="43">
        <v>0.4</v>
      </c>
      <c r="BZ54" s="44">
        <v>0</v>
      </c>
      <c r="CA54" s="43">
        <v>0.03</v>
      </c>
      <c r="CB54" s="5"/>
      <c r="CC54" s="45">
        <f t="shared" si="41"/>
        <v>-1.5000000000000003E-2</v>
      </c>
      <c r="CD54" s="45">
        <f t="shared" si="42"/>
        <v>7.4999999999999997E-3</v>
      </c>
      <c r="CE54" s="45">
        <f t="shared" si="43"/>
        <v>-6.0000000000000012E-2</v>
      </c>
      <c r="CF54" s="46">
        <f t="shared" si="44"/>
        <v>-2E-3</v>
      </c>
      <c r="CG54" s="45">
        <f t="shared" si="45"/>
        <v>0.01</v>
      </c>
      <c r="CH54" s="5"/>
      <c r="CI54" s="44">
        <f t="shared" si="46"/>
        <v>10</v>
      </c>
      <c r="CJ54" s="44">
        <f t="shared" si="47"/>
        <v>23.079377989504057</v>
      </c>
      <c r="CK54" s="44">
        <f t="shared" si="48"/>
        <v>30</v>
      </c>
      <c r="CL54" s="44">
        <f t="shared" si="49"/>
        <v>10</v>
      </c>
      <c r="CM54" s="44">
        <f t="shared" si="50"/>
        <v>9.0645289981548895</v>
      </c>
      <c r="CN54" s="47">
        <f t="shared" si="51"/>
        <v>0</v>
      </c>
      <c r="CO54" s="5"/>
      <c r="CP54" s="47">
        <f t="shared" si="52"/>
        <v>2.9011464843439933E-2</v>
      </c>
      <c r="CQ54" s="47">
        <f t="shared" si="53"/>
        <v>9.7095334921280432E-2</v>
      </c>
      <c r="CR54" s="47">
        <f t="shared" si="54"/>
        <v>1.1156627806677288</v>
      </c>
      <c r="CS54" s="47">
        <f t="shared" si="55"/>
        <v>9.9999999999999645E-2</v>
      </c>
      <c r="CT54" s="47">
        <f t="shared" si="56"/>
        <v>1.7645289981548899E-2</v>
      </c>
      <c r="CU54" s="47">
        <f t="shared" si="57"/>
        <v>1.3594148704139977</v>
      </c>
    </row>
    <row r="55" spans="1:99" ht="15" customHeight="1">
      <c r="A55" s="5"/>
      <c r="B55" s="37" t="s">
        <v>101</v>
      </c>
      <c r="C55" s="37" t="s">
        <v>252</v>
      </c>
      <c r="D55" s="37" t="s">
        <v>255</v>
      </c>
      <c r="E55" s="26">
        <v>42551</v>
      </c>
      <c r="F55" s="38">
        <f t="shared" si="37"/>
        <v>75.603954493718675</v>
      </c>
      <c r="G55" s="4">
        <f>I55-3168618-22660533</f>
        <v>8589462</v>
      </c>
      <c r="H55" s="4">
        <f>17807539-822859-11060352</f>
        <v>5924328</v>
      </c>
      <c r="I55" s="4">
        <v>34418613</v>
      </c>
      <c r="J55" s="4">
        <v>16544512</v>
      </c>
      <c r="K55" s="4">
        <v>1306880</v>
      </c>
      <c r="L55" s="4">
        <v>22168535</v>
      </c>
      <c r="M55" s="4">
        <v>728976</v>
      </c>
      <c r="N55" s="4">
        <v>933481</v>
      </c>
      <c r="O55" s="4">
        <v>1303635</v>
      </c>
      <c r="P55" s="4">
        <f t="shared" si="65"/>
        <v>25134627</v>
      </c>
      <c r="Q55" s="4">
        <v>24495061</v>
      </c>
      <c r="R55" s="4">
        <v>639566</v>
      </c>
      <c r="S55" s="27">
        <v>24056846</v>
      </c>
      <c r="T55" s="27">
        <v>23163580</v>
      </c>
      <c r="U55" s="27">
        <v>25156797</v>
      </c>
      <c r="V55" s="27">
        <v>26203243</v>
      </c>
      <c r="W55" s="27">
        <v>466944</v>
      </c>
      <c r="X55" s="27">
        <v>822859</v>
      </c>
      <c r="Y55" s="27">
        <v>2945424</v>
      </c>
      <c r="Z55" s="27">
        <v>466571</v>
      </c>
      <c r="AA55" s="27">
        <f>11883211-Z55-Y55-X55</f>
        <v>7648357</v>
      </c>
      <c r="AB55" s="27">
        <f t="shared" si="63"/>
        <v>11883211</v>
      </c>
      <c r="AC55" s="27">
        <v>466571</v>
      </c>
      <c r="AD55" s="27">
        <v>0</v>
      </c>
      <c r="AE55" s="27">
        <f t="shared" si="61"/>
        <v>466571</v>
      </c>
      <c r="AF55" s="27">
        <v>0</v>
      </c>
      <c r="AG55" s="27">
        <v>117464</v>
      </c>
      <c r="AH55" s="27">
        <v>110615</v>
      </c>
      <c r="AI55" s="27">
        <v>82591</v>
      </c>
      <c r="AJ55" s="26">
        <v>41821</v>
      </c>
      <c r="AK55" s="39">
        <v>0</v>
      </c>
      <c r="AL55" s="39">
        <v>1963390</v>
      </c>
      <c r="AM55" s="39">
        <f t="shared" si="64"/>
        <v>1963390</v>
      </c>
      <c r="AN55" s="40">
        <v>0</v>
      </c>
      <c r="AO55" s="40">
        <v>0.04</v>
      </c>
      <c r="AP55" s="50" t="s">
        <v>285</v>
      </c>
      <c r="AQ55" s="27">
        <f>230516+67899+123060</f>
        <v>421475</v>
      </c>
      <c r="AR55" s="27">
        <f>231680+67899+123060</f>
        <v>422639</v>
      </c>
      <c r="AS55" s="27">
        <v>75414</v>
      </c>
      <c r="AT55" s="27">
        <v>0</v>
      </c>
      <c r="AU55" s="27">
        <v>275000</v>
      </c>
      <c r="AV55" s="27">
        <v>475844</v>
      </c>
      <c r="AW55" s="27">
        <v>2979005</v>
      </c>
      <c r="AX55" s="27">
        <f t="shared" si="59"/>
        <v>3805263</v>
      </c>
      <c r="AY55" s="27">
        <v>1208080</v>
      </c>
      <c r="AZ55" s="27">
        <v>2046295</v>
      </c>
      <c r="BA55" s="27">
        <v>1480771</v>
      </c>
      <c r="BB55" s="27">
        <v>475844</v>
      </c>
      <c r="BC55" s="27">
        <v>-2900322</v>
      </c>
      <c r="BD55" s="27">
        <f t="shared" si="60"/>
        <v>2310668</v>
      </c>
      <c r="BE55" s="29">
        <f t="shared" si="38"/>
        <v>1.676869921324076E-2</v>
      </c>
      <c r="BF55" s="29">
        <f t="shared" si="39"/>
        <v>0.16427784478910429</v>
      </c>
      <c r="BG55" s="29">
        <f t="shared" si="40"/>
        <v>0.35559656405483958</v>
      </c>
      <c r="BH55" s="42">
        <f>VLOOKUP(B55,Unemployment!$A$2:$F$193,6,0)</f>
        <v>-0.79999999999999982</v>
      </c>
      <c r="BI55" s="29">
        <f>VLOOKUP(B55,Zillow!$C$11:$R$193,16,0)</f>
        <v>-6.3309147816190074E-3</v>
      </c>
      <c r="BJ55" s="5"/>
      <c r="BK55" s="6">
        <v>10</v>
      </c>
      <c r="BL55" s="6">
        <v>40</v>
      </c>
      <c r="BM55" s="6">
        <v>30</v>
      </c>
      <c r="BN55" s="6">
        <v>10</v>
      </c>
      <c r="BO55" s="6">
        <v>10</v>
      </c>
      <c r="BP55" s="5"/>
      <c r="BQ55" s="43">
        <v>0.2</v>
      </c>
      <c r="BR55" s="43">
        <v>0.02</v>
      </c>
      <c r="BS55" s="43">
        <v>2.2000000000000002</v>
      </c>
      <c r="BT55" s="44">
        <v>0.02</v>
      </c>
      <c r="BU55" s="43">
        <v>-7.0000000000000007E-2</v>
      </c>
      <c r="BV55" s="5"/>
      <c r="BW55" s="43">
        <v>0.05</v>
      </c>
      <c r="BX55" s="43">
        <v>0.32</v>
      </c>
      <c r="BY55" s="43">
        <v>0.4</v>
      </c>
      <c r="BZ55" s="44">
        <v>0</v>
      </c>
      <c r="CA55" s="43">
        <v>0.03</v>
      </c>
      <c r="CB55" s="5"/>
      <c r="CC55" s="45">
        <f t="shared" si="41"/>
        <v>-1.5000000000000003E-2</v>
      </c>
      <c r="CD55" s="45">
        <f t="shared" si="42"/>
        <v>7.4999999999999997E-3</v>
      </c>
      <c r="CE55" s="45">
        <f t="shared" si="43"/>
        <v>-6.0000000000000012E-2</v>
      </c>
      <c r="CF55" s="46">
        <f t="shared" si="44"/>
        <v>-2E-3</v>
      </c>
      <c r="CG55" s="45">
        <f t="shared" si="45"/>
        <v>0.01</v>
      </c>
      <c r="CH55" s="5"/>
      <c r="CI55" s="44">
        <f t="shared" si="46"/>
        <v>10</v>
      </c>
      <c r="CJ55" s="44">
        <f t="shared" si="47"/>
        <v>19.237045971880573</v>
      </c>
      <c r="CK55" s="44">
        <f t="shared" si="48"/>
        <v>30</v>
      </c>
      <c r="CL55" s="44">
        <f t="shared" si="49"/>
        <v>10</v>
      </c>
      <c r="CM55" s="44">
        <f t="shared" si="50"/>
        <v>6.3669085218380994</v>
      </c>
      <c r="CN55" s="47">
        <f t="shared" si="51"/>
        <v>0</v>
      </c>
      <c r="CO55" s="5"/>
      <c r="CP55" s="47">
        <f t="shared" si="52"/>
        <v>2.4268699213240763E-2</v>
      </c>
      <c r="CQ55" s="47">
        <f t="shared" si="53"/>
        <v>6.82778447891043E-2</v>
      </c>
      <c r="CR55" s="47">
        <f t="shared" si="54"/>
        <v>1.0755965640548397</v>
      </c>
      <c r="CS55" s="47">
        <f t="shared" si="55"/>
        <v>0.79999999999999982</v>
      </c>
      <c r="CT55" s="47">
        <f t="shared" si="56"/>
        <v>9.3309147816190065E-3</v>
      </c>
      <c r="CU55" s="47">
        <f t="shared" si="57"/>
        <v>1.9774740228388035</v>
      </c>
    </row>
    <row r="56" spans="1:99" ht="15" customHeight="1">
      <c r="A56" s="5"/>
      <c r="B56" s="37" t="s">
        <v>21</v>
      </c>
      <c r="C56" s="37" t="s">
        <v>252</v>
      </c>
      <c r="D56" s="37" t="s">
        <v>255</v>
      </c>
      <c r="E56" s="26">
        <v>42551</v>
      </c>
      <c r="F56" s="38">
        <f t="shared" si="37"/>
        <v>61.449412636056572</v>
      </c>
      <c r="G56" s="4">
        <f>87805*1000</f>
        <v>87805000</v>
      </c>
      <c r="H56" s="4">
        <f>67636*1000</f>
        <v>67636000</v>
      </c>
      <c r="I56" s="4">
        <v>591911000</v>
      </c>
      <c r="J56" s="4">
        <v>287333000</v>
      </c>
      <c r="K56" s="4">
        <v>5641000</v>
      </c>
      <c r="L56" s="4">
        <v>276033000</v>
      </c>
      <c r="M56" s="4">
        <v>6332000</v>
      </c>
      <c r="N56" s="4">
        <v>26382000</v>
      </c>
      <c r="O56" s="4">
        <v>33483000</v>
      </c>
      <c r="P56" s="4">
        <f t="shared" si="65"/>
        <v>342230000</v>
      </c>
      <c r="Q56" s="4">
        <v>333238000</v>
      </c>
      <c r="R56" s="4">
        <f>P56-Q56</f>
        <v>8992000</v>
      </c>
      <c r="S56" s="27">
        <v>312899000</v>
      </c>
      <c r="T56" s="27">
        <v>308062000</v>
      </c>
      <c r="U56" s="27">
        <v>342013000</v>
      </c>
      <c r="V56" s="27">
        <f>354326*1000</f>
        <v>354326000</v>
      </c>
      <c r="W56" s="27">
        <v>3137000</v>
      </c>
      <c r="X56" s="27">
        <v>24119000</v>
      </c>
      <c r="Y56" s="27">
        <v>49620000</v>
      </c>
      <c r="Z56" s="27">
        <v>21064000</v>
      </c>
      <c r="AA56" s="27">
        <f>298375000-24119000-Y56-Z56</f>
        <v>203572000</v>
      </c>
      <c r="AB56" s="27">
        <f t="shared" si="63"/>
        <v>298375000</v>
      </c>
      <c r="AC56" s="27">
        <f>6826+8709+5529</f>
        <v>21064</v>
      </c>
      <c r="AD56" s="27">
        <v>0</v>
      </c>
      <c r="AE56" s="27">
        <f t="shared" si="61"/>
        <v>21064</v>
      </c>
      <c r="AF56" s="27">
        <v>0</v>
      </c>
      <c r="AG56" s="27">
        <f>4282+4549+1850</f>
        <v>10681</v>
      </c>
      <c r="AH56" s="27">
        <f>4401+4699+1871</f>
        <v>10971</v>
      </c>
      <c r="AI56" s="27">
        <f>4534+4747+1297</f>
        <v>10578</v>
      </c>
      <c r="AJ56" s="26">
        <v>41821</v>
      </c>
      <c r="AK56" s="51">
        <f>10881+9898</f>
        <v>20779</v>
      </c>
      <c r="AL56" s="51">
        <f>57304+65258+29635</f>
        <v>152197</v>
      </c>
      <c r="AM56" s="39">
        <f t="shared" si="64"/>
        <v>131418</v>
      </c>
      <c r="AN56" s="40">
        <f>AK56/AL56</f>
        <v>0.13652700118924815</v>
      </c>
      <c r="AO56" s="50" t="s">
        <v>286</v>
      </c>
      <c r="AP56" s="50" t="s">
        <v>287</v>
      </c>
      <c r="AQ56" s="27">
        <f t="shared" ref="AQ56:AR56" si="68">4056000+3341000</f>
        <v>7397000</v>
      </c>
      <c r="AR56" s="27">
        <f t="shared" si="68"/>
        <v>7397000</v>
      </c>
      <c r="AS56" s="27">
        <v>0</v>
      </c>
      <c r="AT56" s="27">
        <v>0</v>
      </c>
      <c r="AU56" s="27">
        <v>0</v>
      </c>
      <c r="AV56" s="27">
        <v>825000</v>
      </c>
      <c r="AW56" s="27">
        <v>27435000</v>
      </c>
      <c r="AX56" s="27">
        <f t="shared" si="59"/>
        <v>28260000</v>
      </c>
      <c r="AY56" s="27">
        <v>70000</v>
      </c>
      <c r="AZ56" s="27">
        <v>6973000</v>
      </c>
      <c r="BA56" s="27">
        <v>2526000</v>
      </c>
      <c r="BB56" s="27">
        <v>3251000</v>
      </c>
      <c r="BC56" s="27">
        <v>17230000</v>
      </c>
      <c r="BD56" s="27">
        <f t="shared" si="60"/>
        <v>30050000</v>
      </c>
      <c r="BE56" s="29">
        <f t="shared" si="38"/>
        <v>2.1614119159629488E-2</v>
      </c>
      <c r="BF56" s="29">
        <f t="shared" si="39"/>
        <v>9.173478066103577E-2</v>
      </c>
      <c r="BG56" s="29">
        <f t="shared" si="40"/>
        <v>0.72686497384799698</v>
      </c>
      <c r="BH56" s="42">
        <f>VLOOKUP(B56,Unemployment!$A$2:$F$193,6,0)</f>
        <v>-0.40000000000000036</v>
      </c>
      <c r="BI56" s="29">
        <f>VLOOKUP(B56,Zillow!$C$11:$R$193,16,0)</f>
        <v>3.3252477871841416E-3</v>
      </c>
      <c r="BJ56" s="5"/>
      <c r="BK56" s="6">
        <v>10</v>
      </c>
      <c r="BL56" s="6">
        <v>40</v>
      </c>
      <c r="BM56" s="6">
        <v>30</v>
      </c>
      <c r="BN56" s="6">
        <v>10</v>
      </c>
      <c r="BO56" s="6">
        <v>10</v>
      </c>
      <c r="BP56" s="5"/>
      <c r="BQ56" s="43">
        <v>0.2</v>
      </c>
      <c r="BR56" s="43">
        <v>0.02</v>
      </c>
      <c r="BS56" s="43">
        <v>2.2000000000000002</v>
      </c>
      <c r="BT56" s="44">
        <v>0.02</v>
      </c>
      <c r="BU56" s="43">
        <v>-7.0000000000000007E-2</v>
      </c>
      <c r="BV56" s="5"/>
      <c r="BW56" s="43">
        <v>0.05</v>
      </c>
      <c r="BX56" s="43">
        <v>0.32</v>
      </c>
      <c r="BY56" s="43">
        <v>0.4</v>
      </c>
      <c r="BZ56" s="44">
        <v>0</v>
      </c>
      <c r="CA56" s="43">
        <v>0.03</v>
      </c>
      <c r="CB56" s="5"/>
      <c r="CC56" s="45">
        <f t="shared" si="41"/>
        <v>-1.5000000000000003E-2</v>
      </c>
      <c r="CD56" s="45">
        <f t="shared" si="42"/>
        <v>7.4999999999999997E-3</v>
      </c>
      <c r="CE56" s="45">
        <f t="shared" si="43"/>
        <v>-6.0000000000000012E-2</v>
      </c>
      <c r="CF56" s="46">
        <f t="shared" si="44"/>
        <v>-2E-3</v>
      </c>
      <c r="CG56" s="45">
        <f t="shared" si="45"/>
        <v>0.01</v>
      </c>
      <c r="CH56" s="5"/>
      <c r="CI56" s="44">
        <f t="shared" si="46"/>
        <v>10</v>
      </c>
      <c r="CJ56" s="44">
        <f t="shared" si="47"/>
        <v>9.5646374214714349</v>
      </c>
      <c r="CK56" s="44">
        <f t="shared" si="48"/>
        <v>24.552250435866718</v>
      </c>
      <c r="CL56" s="44">
        <f t="shared" si="49"/>
        <v>10</v>
      </c>
      <c r="CM56" s="44">
        <f t="shared" si="50"/>
        <v>7.3325247787184145</v>
      </c>
      <c r="CN56" s="47">
        <f t="shared" si="51"/>
        <v>0</v>
      </c>
      <c r="CO56" s="5"/>
      <c r="CP56" s="47">
        <f t="shared" si="52"/>
        <v>2.9114119159629491E-2</v>
      </c>
      <c r="CQ56" s="47">
        <f t="shared" si="53"/>
        <v>4.2652193389642185E-3</v>
      </c>
      <c r="CR56" s="47">
        <f t="shared" si="54"/>
        <v>1.4468649738479971</v>
      </c>
      <c r="CS56" s="47">
        <f t="shared" si="55"/>
        <v>0.40000000000000036</v>
      </c>
      <c r="CT56" s="47">
        <f t="shared" si="56"/>
        <v>3.2524778718414195E-4</v>
      </c>
      <c r="CU56" s="47">
        <f t="shared" si="57"/>
        <v>1.8805695601337753</v>
      </c>
    </row>
    <row r="57" spans="1:99" ht="15" customHeight="1">
      <c r="A57" s="5"/>
      <c r="B57" s="37" t="s">
        <v>50</v>
      </c>
      <c r="C57" s="37" t="s">
        <v>252</v>
      </c>
      <c r="D57" s="37" t="s">
        <v>255</v>
      </c>
      <c r="E57" s="26">
        <v>42551</v>
      </c>
      <c r="F57" s="38">
        <f t="shared" si="37"/>
        <v>67.213377327164991</v>
      </c>
      <c r="G57" s="4">
        <f>I57-99325217-45802930</f>
        <v>61873126</v>
      </c>
      <c r="H57" s="4">
        <f>131434704-5302291-82370296</f>
        <v>43762117</v>
      </c>
      <c r="I57" s="4">
        <v>207001273</v>
      </c>
      <c r="J57" s="4">
        <v>86144118</v>
      </c>
      <c r="K57" s="4">
        <v>-15798561</v>
      </c>
      <c r="L57" s="4">
        <v>93430184</v>
      </c>
      <c r="M57" s="4">
        <v>4010378</v>
      </c>
      <c r="N57" s="4">
        <v>14348614</v>
      </c>
      <c r="O57" s="4">
        <v>14194691</v>
      </c>
      <c r="P57" s="4">
        <f t="shared" si="65"/>
        <v>125983867</v>
      </c>
      <c r="Q57" s="4">
        <v>124611042</v>
      </c>
      <c r="R57" s="4">
        <v>1372825</v>
      </c>
      <c r="S57" s="27">
        <v>104543428</v>
      </c>
      <c r="T57" s="27">
        <v>100499242</v>
      </c>
      <c r="U57" s="27">
        <v>123993354</v>
      </c>
      <c r="V57" s="27">
        <v>130652861</v>
      </c>
      <c r="W57" s="27">
        <v>413371</v>
      </c>
      <c r="X57" s="27">
        <f>15955+5286336</f>
        <v>5302291</v>
      </c>
      <c r="Y57" s="27">
        <v>33095114</v>
      </c>
      <c r="Z57" s="27">
        <v>10504758</v>
      </c>
      <c r="AA57" s="27">
        <f>87557847+114740-X57-Y57-Z57</f>
        <v>38770424</v>
      </c>
      <c r="AB57" s="27">
        <f t="shared" si="63"/>
        <v>87672587</v>
      </c>
      <c r="AC57" s="27">
        <v>10504758</v>
      </c>
      <c r="AD57" s="27">
        <v>0</v>
      </c>
      <c r="AE57" s="27">
        <f t="shared" si="61"/>
        <v>10504758</v>
      </c>
      <c r="AF57" s="27">
        <v>0</v>
      </c>
      <c r="AG57" s="27">
        <v>3517986</v>
      </c>
      <c r="AH57" s="27">
        <v>3510009</v>
      </c>
      <c r="AI57" s="27">
        <v>1144807</v>
      </c>
      <c r="AJ57" s="26">
        <v>41456</v>
      </c>
      <c r="AK57" s="39">
        <v>0</v>
      </c>
      <c r="AL57" s="39">
        <v>36108188</v>
      </c>
      <c r="AM57" s="39">
        <f t="shared" si="64"/>
        <v>36108188</v>
      </c>
      <c r="AN57" s="40">
        <v>0</v>
      </c>
      <c r="AO57" s="40">
        <v>0.04</v>
      </c>
      <c r="AP57" s="40">
        <v>3.5000000000000003E-2</v>
      </c>
      <c r="AQ57" s="27">
        <v>3040676</v>
      </c>
      <c r="AR57" s="27">
        <v>3110676</v>
      </c>
      <c r="AS57" s="27">
        <v>0</v>
      </c>
      <c r="AT57" s="27">
        <v>0</v>
      </c>
      <c r="AU57" s="27">
        <v>0</v>
      </c>
      <c r="AV57" s="27">
        <v>370383</v>
      </c>
      <c r="AW57" s="27">
        <v>10904638</v>
      </c>
      <c r="AX57" s="27">
        <f t="shared" si="59"/>
        <v>11275021</v>
      </c>
      <c r="AY57" s="27">
        <v>81343</v>
      </c>
      <c r="AZ57" s="27">
        <v>1453688</v>
      </c>
      <c r="BA57" s="27">
        <v>2110821</v>
      </c>
      <c r="BB57" s="27">
        <v>370383</v>
      </c>
      <c r="BC57" s="27">
        <v>10077746</v>
      </c>
      <c r="BD57" s="27">
        <f t="shared" si="60"/>
        <v>14093981</v>
      </c>
      <c r="BE57" s="29">
        <f t="shared" si="38"/>
        <v>2.4135439500360789E-2</v>
      </c>
      <c r="BF57" s="29">
        <f t="shared" si="39"/>
        <v>0.11219010985177381</v>
      </c>
      <c r="BG57" s="29">
        <f t="shared" si="40"/>
        <v>0.43321001569192985</v>
      </c>
      <c r="BH57" s="42">
        <f>VLOOKUP(B57,Unemployment!$A$2:$F$193,6,0)</f>
        <v>-0.29999999999999982</v>
      </c>
      <c r="BI57" s="29">
        <f>VLOOKUP(B57,Zillow!$C$11:$R$193,16,0)</f>
        <v>-1.525137058206009E-2</v>
      </c>
      <c r="BJ57" s="5"/>
      <c r="BK57" s="6">
        <v>10</v>
      </c>
      <c r="BL57" s="6">
        <v>40</v>
      </c>
      <c r="BM57" s="6">
        <v>30</v>
      </c>
      <c r="BN57" s="6">
        <v>10</v>
      </c>
      <c r="BO57" s="6">
        <v>10</v>
      </c>
      <c r="BP57" s="5"/>
      <c r="BQ57" s="43">
        <v>0.2</v>
      </c>
      <c r="BR57" s="43">
        <v>0.02</v>
      </c>
      <c r="BS57" s="43">
        <v>2.2000000000000002</v>
      </c>
      <c r="BT57" s="44">
        <v>0.02</v>
      </c>
      <c r="BU57" s="43">
        <v>-7.0000000000000007E-2</v>
      </c>
      <c r="BV57" s="5"/>
      <c r="BW57" s="43">
        <v>0.05</v>
      </c>
      <c r="BX57" s="43">
        <v>0.32</v>
      </c>
      <c r="BY57" s="43">
        <v>0.4</v>
      </c>
      <c r="BZ57" s="44">
        <v>0</v>
      </c>
      <c r="CA57" s="43">
        <v>0.03</v>
      </c>
      <c r="CB57" s="5"/>
      <c r="CC57" s="45">
        <f t="shared" si="41"/>
        <v>-1.5000000000000003E-2</v>
      </c>
      <c r="CD57" s="45">
        <f t="shared" si="42"/>
        <v>7.4999999999999997E-3</v>
      </c>
      <c r="CE57" s="45">
        <f t="shared" si="43"/>
        <v>-6.0000000000000012E-2</v>
      </c>
      <c r="CF57" s="46">
        <f t="shared" si="44"/>
        <v>-2E-3</v>
      </c>
      <c r="CG57" s="45">
        <f t="shared" si="45"/>
        <v>0.01</v>
      </c>
      <c r="CH57" s="5"/>
      <c r="CI57" s="44">
        <f t="shared" si="46"/>
        <v>10</v>
      </c>
      <c r="CJ57" s="44">
        <f t="shared" si="47"/>
        <v>12.292014646903175</v>
      </c>
      <c r="CK57" s="44">
        <f t="shared" si="48"/>
        <v>29.446499738467832</v>
      </c>
      <c r="CL57" s="44">
        <f t="shared" si="49"/>
        <v>10</v>
      </c>
      <c r="CM57" s="44">
        <f t="shared" si="50"/>
        <v>5.474862941793992</v>
      </c>
      <c r="CN57" s="47">
        <f t="shared" si="51"/>
        <v>0</v>
      </c>
      <c r="CO57" s="5"/>
      <c r="CP57" s="47">
        <f t="shared" si="52"/>
        <v>3.1635439500360789E-2</v>
      </c>
      <c r="CQ57" s="47">
        <f t="shared" si="53"/>
        <v>1.6190109851773826E-2</v>
      </c>
      <c r="CR57" s="47">
        <f t="shared" si="54"/>
        <v>1.15321001569193</v>
      </c>
      <c r="CS57" s="47">
        <f t="shared" si="55"/>
        <v>0.29999999999999982</v>
      </c>
      <c r="CT57" s="47">
        <f t="shared" si="56"/>
        <v>1.825137058206009E-2</v>
      </c>
      <c r="CU57" s="47">
        <f t="shared" si="57"/>
        <v>1.5192869356261247</v>
      </c>
    </row>
    <row r="58" spans="1:99" ht="15" customHeight="1">
      <c r="A58" s="5"/>
      <c r="B58" s="37" t="s">
        <v>92</v>
      </c>
      <c r="C58" s="37" t="s">
        <v>252</v>
      </c>
      <c r="D58" s="37" t="s">
        <v>255</v>
      </c>
      <c r="E58" s="26">
        <v>42551</v>
      </c>
      <c r="F58" s="38">
        <f t="shared" si="37"/>
        <v>73.938873409553963</v>
      </c>
      <c r="G58" s="4">
        <f>I58-9434476</f>
        <v>1885679</v>
      </c>
      <c r="H58" s="4">
        <f>1708626-197749-1265301</f>
        <v>245576</v>
      </c>
      <c r="I58" s="4">
        <v>11320155</v>
      </c>
      <c r="J58" s="4">
        <v>9611529</v>
      </c>
      <c r="K58" s="4">
        <v>1594698</v>
      </c>
      <c r="L58" s="4">
        <v>4950400</v>
      </c>
      <c r="M58" s="4">
        <v>17711</v>
      </c>
      <c r="N58" s="4">
        <v>215799</v>
      </c>
      <c r="O58" s="4">
        <v>1648956</v>
      </c>
      <c r="P58" s="4">
        <f t="shared" si="65"/>
        <v>6832866</v>
      </c>
      <c r="Q58" s="4">
        <v>6677364</v>
      </c>
      <c r="R58" s="4">
        <v>155502</v>
      </c>
      <c r="S58" s="27">
        <v>6669080</v>
      </c>
      <c r="T58" s="27">
        <v>6312120</v>
      </c>
      <c r="U58" s="27">
        <v>6814585</v>
      </c>
      <c r="V58" s="27">
        <v>6495776</v>
      </c>
      <c r="W58" s="27">
        <v>-50867</v>
      </c>
      <c r="X58" s="27">
        <v>197749</v>
      </c>
      <c r="Y58" s="27">
        <v>0</v>
      </c>
      <c r="Z58" s="27">
        <v>0</v>
      </c>
      <c r="AA58" s="27">
        <f>1463050-X58</f>
        <v>1265301</v>
      </c>
      <c r="AB58" s="27">
        <f t="shared" si="63"/>
        <v>1463050</v>
      </c>
      <c r="AC58" s="27"/>
      <c r="AD58" s="27"/>
      <c r="AE58" s="27"/>
      <c r="AF58" s="27"/>
      <c r="AG58" s="27"/>
      <c r="AH58" s="27"/>
      <c r="AI58" s="27"/>
      <c r="AJ58" s="26"/>
      <c r="AK58" s="39"/>
      <c r="AL58" s="39"/>
      <c r="AM58" s="39"/>
      <c r="AN58" s="40"/>
      <c r="AO58" s="40"/>
      <c r="AP58" s="40"/>
      <c r="AQ58" s="27"/>
      <c r="AR58" s="27"/>
      <c r="AS58" s="27">
        <v>0</v>
      </c>
      <c r="AT58" s="27">
        <v>0</v>
      </c>
      <c r="AU58" s="27">
        <v>0</v>
      </c>
      <c r="AV58" s="27">
        <v>56274</v>
      </c>
      <c r="AW58" s="27">
        <v>876530</v>
      </c>
      <c r="AX58" s="27">
        <f t="shared" si="59"/>
        <v>932804</v>
      </c>
      <c r="AY58" s="27">
        <v>1057</v>
      </c>
      <c r="AZ58" s="27">
        <v>8499</v>
      </c>
      <c r="BA58" s="27">
        <v>520775</v>
      </c>
      <c r="BB58" s="27">
        <v>108262</v>
      </c>
      <c r="BC58" s="27">
        <v>901680</v>
      </c>
      <c r="BD58" s="27">
        <f t="shared" si="60"/>
        <v>1540273</v>
      </c>
      <c r="BE58" s="29">
        <f t="shared" si="38"/>
        <v>0</v>
      </c>
      <c r="BF58" s="29">
        <f t="shared" si="39"/>
        <v>0.14777982674600609</v>
      </c>
      <c r="BG58" s="29">
        <f t="shared" si="40"/>
        <v>0.21411952173509621</v>
      </c>
      <c r="BH58" s="42">
        <f>VLOOKUP(B58,Unemployment!$A$2:$F$193,6,0)</f>
        <v>-1</v>
      </c>
      <c r="BI58" s="29">
        <f>VLOOKUP(B58,Zillow!$C$11:$R$193,16,0)</f>
        <v>-9.8436823246858497E-4</v>
      </c>
      <c r="BJ58" s="5"/>
      <c r="BK58" s="6">
        <v>10</v>
      </c>
      <c r="BL58" s="6">
        <v>40</v>
      </c>
      <c r="BM58" s="6">
        <v>30</v>
      </c>
      <c r="BN58" s="6">
        <v>10</v>
      </c>
      <c r="BO58" s="6">
        <v>10</v>
      </c>
      <c r="BP58" s="5"/>
      <c r="BQ58" s="43">
        <v>0.2</v>
      </c>
      <c r="BR58" s="43">
        <v>0.02</v>
      </c>
      <c r="BS58" s="43">
        <v>2.2000000000000002</v>
      </c>
      <c r="BT58" s="44">
        <v>0.02</v>
      </c>
      <c r="BU58" s="43">
        <v>-7.0000000000000007E-2</v>
      </c>
      <c r="BV58" s="5"/>
      <c r="BW58" s="43">
        <v>0.05</v>
      </c>
      <c r="BX58" s="43">
        <v>0.32</v>
      </c>
      <c r="BY58" s="43">
        <v>0.4</v>
      </c>
      <c r="BZ58" s="44">
        <v>0</v>
      </c>
      <c r="CA58" s="43">
        <v>0.03</v>
      </c>
      <c r="CB58" s="5"/>
      <c r="CC58" s="45">
        <f t="shared" si="41"/>
        <v>-1.5000000000000003E-2</v>
      </c>
      <c r="CD58" s="45">
        <f t="shared" si="42"/>
        <v>7.4999999999999997E-3</v>
      </c>
      <c r="CE58" s="45">
        <f t="shared" si="43"/>
        <v>-6.0000000000000012E-2</v>
      </c>
      <c r="CF58" s="46">
        <f t="shared" si="44"/>
        <v>-2E-3</v>
      </c>
      <c r="CG58" s="45">
        <f t="shared" si="45"/>
        <v>0.01</v>
      </c>
      <c r="CH58" s="5"/>
      <c r="CI58" s="44">
        <f t="shared" si="46"/>
        <v>10</v>
      </c>
      <c r="CJ58" s="44">
        <f t="shared" si="47"/>
        <v>17.037310232800813</v>
      </c>
      <c r="CK58" s="44">
        <f t="shared" si="48"/>
        <v>30</v>
      </c>
      <c r="CL58" s="44">
        <f t="shared" si="49"/>
        <v>10</v>
      </c>
      <c r="CM58" s="44">
        <f t="shared" si="50"/>
        <v>6.9015631767531422</v>
      </c>
      <c r="CN58" s="47">
        <f t="shared" si="51"/>
        <v>0</v>
      </c>
      <c r="CO58" s="5"/>
      <c r="CP58" s="47">
        <f t="shared" si="52"/>
        <v>7.5000000000000023E-3</v>
      </c>
      <c r="CQ58" s="47">
        <f t="shared" si="53"/>
        <v>5.1779826746006105E-2</v>
      </c>
      <c r="CR58" s="47">
        <f t="shared" si="54"/>
        <v>0.93411952173509638</v>
      </c>
      <c r="CS58" s="47">
        <f t="shared" si="55"/>
        <v>1</v>
      </c>
      <c r="CT58" s="47">
        <f t="shared" si="56"/>
        <v>3.9843682324685846E-3</v>
      </c>
      <c r="CU58" s="47">
        <f t="shared" si="57"/>
        <v>1.9973837167135708</v>
      </c>
    </row>
    <row r="59" spans="1:99" ht="15" customHeight="1">
      <c r="A59" s="5"/>
      <c r="B59" s="37" t="s">
        <v>104</v>
      </c>
      <c r="C59" s="37" t="s">
        <v>252</v>
      </c>
      <c r="D59" s="37" t="s">
        <v>255</v>
      </c>
      <c r="E59" s="26">
        <v>42551</v>
      </c>
      <c r="F59" s="38">
        <f t="shared" si="37"/>
        <v>75.722327918063115</v>
      </c>
      <c r="G59" s="4">
        <v>69667984</v>
      </c>
      <c r="H59" s="4">
        <v>16972553</v>
      </c>
      <c r="I59" s="4">
        <v>372575008</v>
      </c>
      <c r="J59" s="4">
        <v>241384454</v>
      </c>
      <c r="K59" s="4">
        <v>13031950</v>
      </c>
      <c r="L59" s="4">
        <v>141370621</v>
      </c>
      <c r="M59" s="4">
        <v>2318625</v>
      </c>
      <c r="N59" s="4">
        <v>12466157</v>
      </c>
      <c r="O59" s="4">
        <v>22428207</v>
      </c>
      <c r="P59" s="4">
        <f t="shared" si="65"/>
        <v>178583610</v>
      </c>
      <c r="Q59" s="4">
        <v>179442295</v>
      </c>
      <c r="R59" s="4">
        <v>-858685</v>
      </c>
      <c r="S59" s="27">
        <v>165595208</v>
      </c>
      <c r="T59" s="27">
        <v>158639207</v>
      </c>
      <c r="U59" s="27">
        <v>178524655</v>
      </c>
      <c r="V59" s="27">
        <v>177330347</v>
      </c>
      <c r="W59" s="27">
        <v>1355672</v>
      </c>
      <c r="X59" s="27">
        <v>7879647</v>
      </c>
      <c r="Y59" s="27">
        <v>55489150</v>
      </c>
      <c r="Z59" s="27">
        <v>2548376</v>
      </c>
      <c r="AA59" s="27">
        <f>138611967-Z59-Y59-X59</f>
        <v>72694794</v>
      </c>
      <c r="AB59" s="27">
        <f t="shared" si="63"/>
        <v>138611967</v>
      </c>
      <c r="AC59" s="27">
        <v>2548376</v>
      </c>
      <c r="AD59" s="27">
        <v>0</v>
      </c>
      <c r="AE59" s="27">
        <f>AC59+AD59</f>
        <v>2548376</v>
      </c>
      <c r="AF59" s="27">
        <v>0</v>
      </c>
      <c r="AG59" s="27">
        <v>1634197</v>
      </c>
      <c r="AH59" s="27">
        <v>1645194</v>
      </c>
      <c r="AI59" s="27">
        <v>1522386</v>
      </c>
      <c r="AJ59" s="26">
        <v>42186</v>
      </c>
      <c r="AK59" s="39">
        <v>2486000</v>
      </c>
      <c r="AL59" s="39">
        <v>14156000</v>
      </c>
      <c r="AM59" s="39">
        <f>AL59-AK59</f>
        <v>11670000</v>
      </c>
      <c r="AN59" s="40">
        <f>AK59/AL59</f>
        <v>0.17561458038994066</v>
      </c>
      <c r="AO59" s="40">
        <v>7.0000000000000007E-2</v>
      </c>
      <c r="AP59" s="40">
        <v>2.7E-2</v>
      </c>
      <c r="AQ59" s="27">
        <v>6118624</v>
      </c>
      <c r="AR59" s="27">
        <v>6118624</v>
      </c>
      <c r="AS59" s="27">
        <v>217267</v>
      </c>
      <c r="AT59" s="27">
        <v>0</v>
      </c>
      <c r="AU59" s="27">
        <v>0</v>
      </c>
      <c r="AV59" s="27">
        <v>1001234</v>
      </c>
      <c r="AW59" s="27">
        <v>25843730</v>
      </c>
      <c r="AX59" s="27">
        <f t="shared" si="59"/>
        <v>27062231</v>
      </c>
      <c r="AY59" s="27">
        <v>255064</v>
      </c>
      <c r="AZ59" s="27">
        <v>2263358</v>
      </c>
      <c r="BA59" s="27">
        <v>26488882</v>
      </c>
      <c r="BB59" s="27">
        <v>1001234</v>
      </c>
      <c r="BC59" s="27">
        <v>22596567</v>
      </c>
      <c r="BD59" s="27">
        <f t="shared" si="60"/>
        <v>52605105</v>
      </c>
      <c r="BE59" s="29">
        <f t="shared" si="38"/>
        <v>3.426195718632858E-2</v>
      </c>
      <c r="BF59" s="29">
        <f t="shared" si="39"/>
        <v>0.17058980255744724</v>
      </c>
      <c r="BG59" s="29">
        <f t="shared" si="40"/>
        <v>0.46545602365189054</v>
      </c>
      <c r="BH59" s="42">
        <f>VLOOKUP(B59,Unemployment!$A$2:$F$193,6,0)</f>
        <v>-0.29999999999999982</v>
      </c>
      <c r="BI59" s="29">
        <f>VLOOKUP(B59,Zillow!$C$11:$R$193,16,0)</f>
        <v>-2.6537869539834578E-3</v>
      </c>
      <c r="BJ59" s="5"/>
      <c r="BK59" s="6">
        <v>10</v>
      </c>
      <c r="BL59" s="6">
        <v>40</v>
      </c>
      <c r="BM59" s="6">
        <v>30</v>
      </c>
      <c r="BN59" s="6">
        <v>10</v>
      </c>
      <c r="BO59" s="6">
        <v>10</v>
      </c>
      <c r="BP59" s="5"/>
      <c r="BQ59" s="43">
        <v>0.2</v>
      </c>
      <c r="BR59" s="43">
        <v>0.02</v>
      </c>
      <c r="BS59" s="43">
        <v>2.2000000000000002</v>
      </c>
      <c r="BT59" s="44">
        <v>0.02</v>
      </c>
      <c r="BU59" s="43">
        <v>-7.0000000000000007E-2</v>
      </c>
      <c r="BV59" s="5"/>
      <c r="BW59" s="43">
        <v>0.05</v>
      </c>
      <c r="BX59" s="43">
        <v>0.32</v>
      </c>
      <c r="BY59" s="43">
        <v>0.4</v>
      </c>
      <c r="BZ59" s="44">
        <v>0</v>
      </c>
      <c r="CA59" s="43">
        <v>0.03</v>
      </c>
      <c r="CB59" s="5"/>
      <c r="CC59" s="45">
        <f t="shared" si="41"/>
        <v>-1.5000000000000003E-2</v>
      </c>
      <c r="CD59" s="45">
        <f t="shared" si="42"/>
        <v>7.4999999999999997E-3</v>
      </c>
      <c r="CE59" s="45">
        <f t="shared" si="43"/>
        <v>-6.0000000000000012E-2</v>
      </c>
      <c r="CF59" s="46">
        <f t="shared" si="44"/>
        <v>-2E-3</v>
      </c>
      <c r="CG59" s="45">
        <f t="shared" si="45"/>
        <v>0.01</v>
      </c>
      <c r="CH59" s="5"/>
      <c r="CI59" s="44">
        <f t="shared" si="46"/>
        <v>10</v>
      </c>
      <c r="CJ59" s="44">
        <f t="shared" si="47"/>
        <v>20.078640340992969</v>
      </c>
      <c r="CK59" s="44">
        <f t="shared" si="48"/>
        <v>28.90906627246849</v>
      </c>
      <c r="CL59" s="44">
        <f t="shared" si="49"/>
        <v>10</v>
      </c>
      <c r="CM59" s="44">
        <f t="shared" si="50"/>
        <v>6.7346213046016556</v>
      </c>
      <c r="CN59" s="47">
        <f t="shared" si="51"/>
        <v>0</v>
      </c>
      <c r="CO59" s="5"/>
      <c r="CP59" s="47">
        <f t="shared" si="52"/>
        <v>4.176195718632858E-2</v>
      </c>
      <c r="CQ59" s="47">
        <f t="shared" si="53"/>
        <v>7.4589802557447252E-2</v>
      </c>
      <c r="CR59" s="47">
        <f t="shared" si="54"/>
        <v>1.1854560236518907</v>
      </c>
      <c r="CS59" s="47">
        <f t="shared" si="55"/>
        <v>0.29999999999999982</v>
      </c>
      <c r="CT59" s="47">
        <f t="shared" si="56"/>
        <v>5.6537869539834574E-3</v>
      </c>
      <c r="CU59" s="47">
        <f t="shared" si="57"/>
        <v>1.6074615703496498</v>
      </c>
    </row>
    <row r="60" spans="1:99" ht="15" customHeight="1">
      <c r="A60" s="5"/>
      <c r="B60" s="37" t="s">
        <v>155</v>
      </c>
      <c r="C60" s="37" t="s">
        <v>252</v>
      </c>
      <c r="D60" s="37" t="s">
        <v>255</v>
      </c>
      <c r="E60" s="26">
        <v>42551</v>
      </c>
      <c r="F60" s="38">
        <f t="shared" si="37"/>
        <v>87.126565072686859</v>
      </c>
      <c r="G60" s="4">
        <f>I60-961406-4324300</f>
        <v>5027956</v>
      </c>
      <c r="H60" s="4">
        <f>336787+35023</f>
        <v>371810</v>
      </c>
      <c r="I60" s="4">
        <v>10313662</v>
      </c>
      <c r="J60" s="4">
        <v>9813387</v>
      </c>
      <c r="K60" s="4">
        <v>3605497</v>
      </c>
      <c r="L60" s="4">
        <v>10208266</v>
      </c>
      <c r="M60" s="4">
        <v>0</v>
      </c>
      <c r="N60" s="4">
        <v>156817</v>
      </c>
      <c r="O60" s="4">
        <v>537357</v>
      </c>
      <c r="P60" s="4">
        <f t="shared" si="65"/>
        <v>10902440</v>
      </c>
      <c r="Q60" s="4">
        <v>10300644</v>
      </c>
      <c r="R60" s="4">
        <v>601796</v>
      </c>
      <c r="S60" s="27">
        <v>10588537</v>
      </c>
      <c r="T60" s="27">
        <v>9705151</v>
      </c>
      <c r="U60" s="27">
        <v>10951849</v>
      </c>
      <c r="V60" s="27">
        <v>10508333</v>
      </c>
      <c r="W60" s="27">
        <v>226966</v>
      </c>
      <c r="X60" s="27">
        <v>0</v>
      </c>
      <c r="Y60" s="27">
        <v>95101</v>
      </c>
      <c r="Z60" s="27">
        <v>0</v>
      </c>
      <c r="AA60" s="27">
        <f>128465-Y60</f>
        <v>33364</v>
      </c>
      <c r="AB60" s="27">
        <f t="shared" si="63"/>
        <v>128465</v>
      </c>
      <c r="AC60" s="27"/>
      <c r="AD60" s="27"/>
      <c r="AE60" s="27"/>
      <c r="AF60" s="27"/>
      <c r="AG60" s="27"/>
      <c r="AH60" s="27"/>
      <c r="AI60" s="27"/>
      <c r="AJ60" s="26"/>
      <c r="AK60" s="39"/>
      <c r="AL60" s="39"/>
      <c r="AM60" s="39"/>
      <c r="AN60" s="40"/>
      <c r="AO60" s="40"/>
      <c r="AP60" s="40"/>
      <c r="AQ60" s="27">
        <v>11510</v>
      </c>
      <c r="AR60" s="27">
        <v>11684</v>
      </c>
      <c r="AS60" s="27">
        <v>17109</v>
      </c>
      <c r="AT60" s="27">
        <v>0</v>
      </c>
      <c r="AU60" s="27">
        <v>25284</v>
      </c>
      <c r="AV60" s="27">
        <v>500886</v>
      </c>
      <c r="AW60" s="27">
        <v>1715932</v>
      </c>
      <c r="AX60" s="27">
        <f t="shared" si="59"/>
        <v>2259211</v>
      </c>
      <c r="AY60" s="27">
        <v>302998</v>
      </c>
      <c r="AZ60" s="27">
        <v>636295</v>
      </c>
      <c r="BA60" s="27">
        <v>1443341</v>
      </c>
      <c r="BB60" s="27">
        <v>502178</v>
      </c>
      <c r="BC60" s="27">
        <v>1715932</v>
      </c>
      <c r="BD60" s="27">
        <f t="shared" si="60"/>
        <v>4600744</v>
      </c>
      <c r="BE60" s="29">
        <f t="shared" si="38"/>
        <v>1.0557269748790179E-3</v>
      </c>
      <c r="BF60" s="29">
        <f t="shared" si="39"/>
        <v>0.23278473462185184</v>
      </c>
      <c r="BG60" s="29">
        <f t="shared" si="40"/>
        <v>3.0602323883460948E-3</v>
      </c>
      <c r="BH60" s="42">
        <f>VLOOKUP(B60,Unemployment!$A$2:$F$193,6,0)</f>
        <v>-0.39999999999999947</v>
      </c>
      <c r="BI60" s="29">
        <f>VLOOKUP(B60,Zillow!$C$11:$R$193,16,0)</f>
        <v>1.7552671231066051E-2</v>
      </c>
      <c r="BJ60" s="5"/>
      <c r="BK60" s="6">
        <v>10</v>
      </c>
      <c r="BL60" s="6">
        <v>40</v>
      </c>
      <c r="BM60" s="6">
        <v>30</v>
      </c>
      <c r="BN60" s="6">
        <v>10</v>
      </c>
      <c r="BO60" s="6">
        <v>10</v>
      </c>
      <c r="BP60" s="5"/>
      <c r="BQ60" s="43">
        <v>0.2</v>
      </c>
      <c r="BR60" s="43">
        <v>0.02</v>
      </c>
      <c r="BS60" s="43">
        <v>2.2000000000000002</v>
      </c>
      <c r="BT60" s="44">
        <v>0.02</v>
      </c>
      <c r="BU60" s="43">
        <v>-7.0000000000000007E-2</v>
      </c>
      <c r="BV60" s="5"/>
      <c r="BW60" s="43">
        <v>0.05</v>
      </c>
      <c r="BX60" s="43">
        <v>0.32</v>
      </c>
      <c r="BY60" s="43">
        <v>0.4</v>
      </c>
      <c r="BZ60" s="44">
        <v>0</v>
      </c>
      <c r="CA60" s="43">
        <v>0.03</v>
      </c>
      <c r="CB60" s="5"/>
      <c r="CC60" s="45">
        <f t="shared" si="41"/>
        <v>-1.5000000000000003E-2</v>
      </c>
      <c r="CD60" s="45">
        <f t="shared" si="42"/>
        <v>7.4999999999999997E-3</v>
      </c>
      <c r="CE60" s="45">
        <f t="shared" si="43"/>
        <v>-6.0000000000000012E-2</v>
      </c>
      <c r="CF60" s="46">
        <f t="shared" si="44"/>
        <v>-2E-3</v>
      </c>
      <c r="CG60" s="45">
        <f t="shared" si="45"/>
        <v>0.01</v>
      </c>
      <c r="CH60" s="5"/>
      <c r="CI60" s="44">
        <f t="shared" si="46"/>
        <v>10</v>
      </c>
      <c r="CJ60" s="44">
        <f t="shared" si="47"/>
        <v>28.371297949580249</v>
      </c>
      <c r="CK60" s="44">
        <f t="shared" si="48"/>
        <v>30</v>
      </c>
      <c r="CL60" s="44">
        <f t="shared" si="49"/>
        <v>10</v>
      </c>
      <c r="CM60" s="44">
        <f t="shared" si="50"/>
        <v>8.7552671231066057</v>
      </c>
      <c r="CN60" s="47">
        <f t="shared" si="51"/>
        <v>0</v>
      </c>
      <c r="CO60" s="5"/>
      <c r="CP60" s="47">
        <f t="shared" si="52"/>
        <v>8.5557269748790209E-3</v>
      </c>
      <c r="CQ60" s="47">
        <f t="shared" si="53"/>
        <v>0.13678473462185187</v>
      </c>
      <c r="CR60" s="47">
        <f t="shared" si="54"/>
        <v>0.72306023238834627</v>
      </c>
      <c r="CS60" s="47">
        <f t="shared" si="55"/>
        <v>0.39999999999999947</v>
      </c>
      <c r="CT60" s="47">
        <f t="shared" si="56"/>
        <v>1.4552671231066051E-2</v>
      </c>
      <c r="CU60" s="47">
        <f t="shared" si="57"/>
        <v>1.2829533652161427</v>
      </c>
    </row>
    <row r="61" spans="1:99" ht="15" customHeight="1">
      <c r="A61" s="5"/>
      <c r="B61" s="37" t="s">
        <v>56</v>
      </c>
      <c r="C61" s="37" t="s">
        <v>252</v>
      </c>
      <c r="D61" s="37" t="s">
        <v>255</v>
      </c>
      <c r="E61" s="26">
        <v>42551</v>
      </c>
      <c r="F61" s="38">
        <f t="shared" si="37"/>
        <v>67.968689944397113</v>
      </c>
      <c r="G61" s="4">
        <f>I61-8720136-62842478</f>
        <v>16321523</v>
      </c>
      <c r="H61" s="4">
        <f>31880953-4033600-24948167</f>
        <v>2899186</v>
      </c>
      <c r="I61" s="4">
        <v>87884137</v>
      </c>
      <c r="J61" s="4">
        <v>57844685</v>
      </c>
      <c r="K61" s="4">
        <v>9500389</v>
      </c>
      <c r="L61" s="4">
        <v>35562563</v>
      </c>
      <c r="M61" s="4">
        <v>328438</v>
      </c>
      <c r="N61" s="4">
        <v>3969812</v>
      </c>
      <c r="O61" s="4">
        <v>11870357</v>
      </c>
      <c r="P61" s="4">
        <f t="shared" si="65"/>
        <v>51731170</v>
      </c>
      <c r="Q61" s="4">
        <v>52344267</v>
      </c>
      <c r="R61" s="4">
        <v>-613097</v>
      </c>
      <c r="S61" s="27">
        <v>45927999</v>
      </c>
      <c r="T61" s="27">
        <v>44629350</v>
      </c>
      <c r="U61" s="27">
        <v>51070824</v>
      </c>
      <c r="V61" s="27">
        <v>51790437</v>
      </c>
      <c r="W61" s="27">
        <v>412174</v>
      </c>
      <c r="X61" s="27">
        <v>4033600</v>
      </c>
      <c r="Y61" s="27">
        <v>3981170</v>
      </c>
      <c r="Z61" s="27">
        <v>496744</v>
      </c>
      <c r="AA61" s="27">
        <f>28981767-Z61-Y61-X61</f>
        <v>20470253</v>
      </c>
      <c r="AB61" s="27">
        <f t="shared" si="63"/>
        <v>28981767</v>
      </c>
      <c r="AC61" s="27">
        <v>496744</v>
      </c>
      <c r="AD61" s="27">
        <v>0</v>
      </c>
      <c r="AE61" s="27">
        <f>AC61+AD61</f>
        <v>496744</v>
      </c>
      <c r="AF61" s="27">
        <v>0</v>
      </c>
      <c r="AG61" s="27">
        <v>551457</v>
      </c>
      <c r="AH61" s="27">
        <v>553073</v>
      </c>
      <c r="AI61" s="27">
        <v>412830</v>
      </c>
      <c r="AJ61" s="26">
        <v>42186</v>
      </c>
      <c r="AK61" s="39">
        <v>1385541</v>
      </c>
      <c r="AL61" s="39">
        <v>6288232</v>
      </c>
      <c r="AM61" s="39">
        <f>AL61-AK61</f>
        <v>4902691</v>
      </c>
      <c r="AN61" s="40">
        <v>0.22</v>
      </c>
      <c r="AO61" s="50" t="s">
        <v>288</v>
      </c>
      <c r="AP61" s="40">
        <v>2.75E-2</v>
      </c>
      <c r="AQ61" s="27">
        <v>470130</v>
      </c>
      <c r="AR61" s="27">
        <v>470130</v>
      </c>
      <c r="AS61" s="27">
        <v>0</v>
      </c>
      <c r="AT61" s="27">
        <v>0</v>
      </c>
      <c r="AU61" s="27">
        <v>7541</v>
      </c>
      <c r="AV61" s="27">
        <v>1662011</v>
      </c>
      <c r="AW61" s="27">
        <v>3012382</v>
      </c>
      <c r="AX61" s="27">
        <f t="shared" si="59"/>
        <v>4681934</v>
      </c>
      <c r="AY61" s="27">
        <v>19131</v>
      </c>
      <c r="AZ61" s="27">
        <v>1805468</v>
      </c>
      <c r="BA61" s="27">
        <v>3928978</v>
      </c>
      <c r="BB61" s="27">
        <v>1662011</v>
      </c>
      <c r="BC61" s="27">
        <v>3012382</v>
      </c>
      <c r="BD61" s="27">
        <f t="shared" si="60"/>
        <v>10427970</v>
      </c>
      <c r="BE61" s="29">
        <f t="shared" si="38"/>
        <v>9.0879444636570179E-3</v>
      </c>
      <c r="BF61" s="29">
        <f t="shared" si="39"/>
        <v>0.10490706228076367</v>
      </c>
      <c r="BG61" s="29">
        <f t="shared" si="40"/>
        <v>0.4832791719189804</v>
      </c>
      <c r="BH61" s="42">
        <f>VLOOKUP(B61,Unemployment!$A$2:$F$193,6,0)</f>
        <v>-0.39999999999999991</v>
      </c>
      <c r="BI61" s="29">
        <f>VLOOKUP(B61,Zillow!$C$11:$R$193,16,0)</f>
        <v>1.0357345056116239E-2</v>
      </c>
      <c r="BJ61" s="5"/>
      <c r="BK61" s="6">
        <v>10</v>
      </c>
      <c r="BL61" s="6">
        <v>40</v>
      </c>
      <c r="BM61" s="6">
        <v>30</v>
      </c>
      <c r="BN61" s="6">
        <v>10</v>
      </c>
      <c r="BO61" s="6">
        <v>10</v>
      </c>
      <c r="BP61" s="5"/>
      <c r="BQ61" s="43">
        <v>0.2</v>
      </c>
      <c r="BR61" s="43">
        <v>0.02</v>
      </c>
      <c r="BS61" s="43">
        <v>2.2000000000000002</v>
      </c>
      <c r="BT61" s="44">
        <v>0.02</v>
      </c>
      <c r="BU61" s="43">
        <v>-7.0000000000000007E-2</v>
      </c>
      <c r="BV61" s="5"/>
      <c r="BW61" s="43">
        <v>0.05</v>
      </c>
      <c r="BX61" s="43">
        <v>0.32</v>
      </c>
      <c r="BY61" s="43">
        <v>0.4</v>
      </c>
      <c r="BZ61" s="44">
        <v>0</v>
      </c>
      <c r="CA61" s="43">
        <v>0.03</v>
      </c>
      <c r="CB61" s="5"/>
      <c r="CC61" s="45">
        <f t="shared" si="41"/>
        <v>-1.5000000000000003E-2</v>
      </c>
      <c r="CD61" s="45">
        <f t="shared" si="42"/>
        <v>7.4999999999999997E-3</v>
      </c>
      <c r="CE61" s="45">
        <f t="shared" si="43"/>
        <v>-6.0000000000000012E-2</v>
      </c>
      <c r="CF61" s="46">
        <f t="shared" si="44"/>
        <v>-2E-3</v>
      </c>
      <c r="CG61" s="45">
        <f t="shared" si="45"/>
        <v>0.01</v>
      </c>
      <c r="CH61" s="5"/>
      <c r="CI61" s="44">
        <f t="shared" si="46"/>
        <v>10</v>
      </c>
      <c r="CJ61" s="44">
        <f t="shared" si="47"/>
        <v>11.320941637435157</v>
      </c>
      <c r="CK61" s="44">
        <f t="shared" si="48"/>
        <v>28.612013801350326</v>
      </c>
      <c r="CL61" s="44">
        <f t="shared" si="49"/>
        <v>10</v>
      </c>
      <c r="CM61" s="44">
        <f t="shared" si="50"/>
        <v>8.0357345056116252</v>
      </c>
      <c r="CN61" s="47">
        <f t="shared" si="51"/>
        <v>0</v>
      </c>
      <c r="CO61" s="5"/>
      <c r="CP61" s="47">
        <f t="shared" si="52"/>
        <v>1.6587944463657019E-2</v>
      </c>
      <c r="CQ61" s="47">
        <f t="shared" si="53"/>
        <v>8.9070622807636834E-3</v>
      </c>
      <c r="CR61" s="47">
        <f t="shared" si="54"/>
        <v>1.2032791719189806</v>
      </c>
      <c r="CS61" s="47">
        <f t="shared" si="55"/>
        <v>0.39999999999999991</v>
      </c>
      <c r="CT61" s="47">
        <f t="shared" si="56"/>
        <v>7.3573450561162396E-3</v>
      </c>
      <c r="CU61" s="47">
        <f t="shared" si="57"/>
        <v>1.6361315237195173</v>
      </c>
    </row>
    <row r="62" spans="1:99" ht="15" customHeight="1">
      <c r="A62" s="5"/>
      <c r="B62" s="37" t="s">
        <v>91</v>
      </c>
      <c r="C62" s="37" t="s">
        <v>252</v>
      </c>
      <c r="D62" s="37" t="s">
        <v>255</v>
      </c>
      <c r="E62" s="26">
        <v>42551</v>
      </c>
      <c r="F62" s="38">
        <f t="shared" si="37"/>
        <v>73.864845337149163</v>
      </c>
      <c r="G62" s="4">
        <f>I62-99862480-586928666</f>
        <v>218440985</v>
      </c>
      <c r="H62" s="4">
        <f>478292632-44648908-343204773</f>
        <v>90438951</v>
      </c>
      <c r="I62" s="4">
        <v>905232131</v>
      </c>
      <c r="J62" s="4">
        <v>434610219</v>
      </c>
      <c r="K62" s="4">
        <v>-62549720</v>
      </c>
      <c r="L62" s="4">
        <v>364940836</v>
      </c>
      <c r="M62" s="4">
        <v>1648500</v>
      </c>
      <c r="N62" s="4">
        <v>49390037</v>
      </c>
      <c r="O62" s="4">
        <v>54676972</v>
      </c>
      <c r="P62" s="4">
        <f t="shared" si="65"/>
        <v>470656345</v>
      </c>
      <c r="Q62" s="4">
        <v>452439428</v>
      </c>
      <c r="R62" s="4">
        <v>18216917</v>
      </c>
      <c r="S62" s="27">
        <v>411612235</v>
      </c>
      <c r="T62" s="27">
        <v>397295357</v>
      </c>
      <c r="U62" s="27">
        <v>467640243</v>
      </c>
      <c r="V62" s="27">
        <v>506423094</v>
      </c>
      <c r="W62" s="27">
        <v>2241407</v>
      </c>
      <c r="X62" s="27">
        <f>44609694+39214</f>
        <v>44648908</v>
      </c>
      <c r="Y62" s="27">
        <v>163699528</v>
      </c>
      <c r="Z62" s="27">
        <v>631905</v>
      </c>
      <c r="AA62" s="27">
        <f>387696824+156857-Z62-Y62-X62</f>
        <v>178873340</v>
      </c>
      <c r="AB62" s="27">
        <f t="shared" si="63"/>
        <v>387853681</v>
      </c>
      <c r="AC62" s="27">
        <v>631905</v>
      </c>
      <c r="AD62" s="27">
        <v>0</v>
      </c>
      <c r="AE62" s="27">
        <f>AC62+AD62</f>
        <v>631905</v>
      </c>
      <c r="AF62" s="27">
        <v>0</v>
      </c>
      <c r="AG62" s="27">
        <v>6090823</v>
      </c>
      <c r="AH62" s="27">
        <v>6082734</v>
      </c>
      <c r="AI62" s="27">
        <v>6244120</v>
      </c>
      <c r="AJ62" s="26">
        <v>41821</v>
      </c>
      <c r="AK62" s="39">
        <v>17153137</v>
      </c>
      <c r="AL62" s="39">
        <v>76436177</v>
      </c>
      <c r="AM62" s="39">
        <f>AL62-AK62</f>
        <v>59283040</v>
      </c>
      <c r="AN62" s="40">
        <v>0.224</v>
      </c>
      <c r="AO62" s="40">
        <v>7.0000000000000007E-2</v>
      </c>
      <c r="AP62" s="40">
        <v>0.04</v>
      </c>
      <c r="AQ62" s="27">
        <v>21610634</v>
      </c>
      <c r="AR62" s="27">
        <v>21611000</v>
      </c>
      <c r="AS62" s="27">
        <v>0</v>
      </c>
      <c r="AT62" s="27">
        <v>0</v>
      </c>
      <c r="AU62" s="27">
        <v>0</v>
      </c>
      <c r="AV62" s="27">
        <v>30870368</v>
      </c>
      <c r="AW62" s="27">
        <v>25304460</v>
      </c>
      <c r="AX62" s="27">
        <f t="shared" si="59"/>
        <v>56174828</v>
      </c>
      <c r="AY62" s="27">
        <v>30168</v>
      </c>
      <c r="AZ62" s="27">
        <v>645066</v>
      </c>
      <c r="BA62" s="27">
        <v>20371831</v>
      </c>
      <c r="BB62" s="27">
        <v>30870368</v>
      </c>
      <c r="BC62" s="27">
        <v>8221049</v>
      </c>
      <c r="BD62" s="27">
        <f t="shared" si="60"/>
        <v>60138482</v>
      </c>
      <c r="BE62" s="29">
        <f t="shared" si="38"/>
        <v>4.5915951690824436E-2</v>
      </c>
      <c r="BF62" s="29">
        <f t="shared" si="39"/>
        <v>0.14139311474510888</v>
      </c>
      <c r="BG62" s="29">
        <f t="shared" si="40"/>
        <v>0.47625864472304097</v>
      </c>
      <c r="BH62" s="42">
        <f>VLOOKUP(B62,Unemployment!$A$2:$F$193,6,0)</f>
        <v>-0.29999999999999982</v>
      </c>
      <c r="BI62" s="29">
        <f>VLOOKUP(B62,Zillow!$C$11:$R$193,16,0)</f>
        <v>1.9500741165186648E-2</v>
      </c>
      <c r="BJ62" s="5"/>
      <c r="BK62" s="6">
        <v>10</v>
      </c>
      <c r="BL62" s="6">
        <v>40</v>
      </c>
      <c r="BM62" s="6">
        <v>30</v>
      </c>
      <c r="BN62" s="6">
        <v>10</v>
      </c>
      <c r="BO62" s="6">
        <v>10</v>
      </c>
      <c r="BP62" s="5"/>
      <c r="BQ62" s="43">
        <v>0.2</v>
      </c>
      <c r="BR62" s="43">
        <v>0.02</v>
      </c>
      <c r="BS62" s="43">
        <v>2.2000000000000002</v>
      </c>
      <c r="BT62" s="44">
        <v>0.02</v>
      </c>
      <c r="BU62" s="43">
        <v>-7.0000000000000007E-2</v>
      </c>
      <c r="BV62" s="5"/>
      <c r="BW62" s="43">
        <v>0.05</v>
      </c>
      <c r="BX62" s="43">
        <v>0.32</v>
      </c>
      <c r="BY62" s="43">
        <v>0.4</v>
      </c>
      <c r="BZ62" s="44">
        <v>0</v>
      </c>
      <c r="CA62" s="43">
        <v>0.03</v>
      </c>
      <c r="CB62" s="5"/>
      <c r="CC62" s="45">
        <f t="shared" si="41"/>
        <v>-1.5000000000000003E-2</v>
      </c>
      <c r="CD62" s="45">
        <f t="shared" si="42"/>
        <v>7.4999999999999997E-3</v>
      </c>
      <c r="CE62" s="45">
        <f t="shared" si="43"/>
        <v>-6.0000000000000012E-2</v>
      </c>
      <c r="CF62" s="46">
        <f t="shared" si="44"/>
        <v>-2E-3</v>
      </c>
      <c r="CG62" s="45">
        <f t="shared" si="45"/>
        <v>0.01</v>
      </c>
      <c r="CH62" s="5"/>
      <c r="CI62" s="44">
        <f t="shared" si="46"/>
        <v>10</v>
      </c>
      <c r="CJ62" s="44">
        <f t="shared" si="47"/>
        <v>16.185748632681182</v>
      </c>
      <c r="CK62" s="44">
        <f t="shared" si="48"/>
        <v>28.729022587949313</v>
      </c>
      <c r="CL62" s="44">
        <f t="shared" si="49"/>
        <v>10</v>
      </c>
      <c r="CM62" s="44">
        <f t="shared" si="50"/>
        <v>8.9500741165186657</v>
      </c>
      <c r="CN62" s="47">
        <f t="shared" si="51"/>
        <v>0</v>
      </c>
      <c r="CO62" s="5"/>
      <c r="CP62" s="47">
        <f t="shared" si="52"/>
        <v>5.3415951690824436E-2</v>
      </c>
      <c r="CQ62" s="47">
        <f t="shared" si="53"/>
        <v>4.539311474510889E-2</v>
      </c>
      <c r="CR62" s="47">
        <f t="shared" si="54"/>
        <v>1.1962586447230412</v>
      </c>
      <c r="CS62" s="47">
        <f t="shared" si="55"/>
        <v>0.29999999999999982</v>
      </c>
      <c r="CT62" s="47">
        <f t="shared" si="56"/>
        <v>1.6500741165186648E-2</v>
      </c>
      <c r="CU62" s="47">
        <f t="shared" si="57"/>
        <v>1.6115684523241611</v>
      </c>
    </row>
    <row r="63" spans="1:99" ht="15" customHeight="1">
      <c r="A63" s="5"/>
      <c r="B63" s="37" t="s">
        <v>71</v>
      </c>
      <c r="C63" s="37" t="s">
        <v>252</v>
      </c>
      <c r="D63" s="37" t="s">
        <v>255</v>
      </c>
      <c r="E63" s="26">
        <v>42551</v>
      </c>
      <c r="F63" s="38">
        <f t="shared" si="37"/>
        <v>70.616205260035386</v>
      </c>
      <c r="G63" s="4">
        <f>I63-1457498-105580061</f>
        <v>7814445</v>
      </c>
      <c r="H63" s="4">
        <f>25348169-1139851-20606736</f>
        <v>3601582</v>
      </c>
      <c r="I63" s="4">
        <v>114852004</v>
      </c>
      <c r="J63" s="4">
        <v>91561843</v>
      </c>
      <c r="K63" s="4">
        <v>2609180</v>
      </c>
      <c r="L63" s="4">
        <v>19196568</v>
      </c>
      <c r="M63" s="4">
        <v>5692585</v>
      </c>
      <c r="N63" s="4">
        <v>2759618</v>
      </c>
      <c r="O63" s="4">
        <v>17462926</v>
      </c>
      <c r="P63" s="4">
        <f t="shared" si="65"/>
        <v>45111697</v>
      </c>
      <c r="Q63" s="4">
        <v>40282515</v>
      </c>
      <c r="R63" s="4">
        <v>4829182</v>
      </c>
      <c r="S63" s="27">
        <v>36019820</v>
      </c>
      <c r="T63" s="27">
        <v>34848180</v>
      </c>
      <c r="U63" s="27">
        <v>44840438</v>
      </c>
      <c r="V63" s="27">
        <v>40359334</v>
      </c>
      <c r="W63" s="27">
        <v>284711</v>
      </c>
      <c r="X63" s="27">
        <v>1139851</v>
      </c>
      <c r="Y63" s="27">
        <v>2848256</v>
      </c>
      <c r="Z63" s="27">
        <v>1227805</v>
      </c>
      <c r="AA63" s="27">
        <f>21746587-Z63-Y63-X63</f>
        <v>16530675</v>
      </c>
      <c r="AB63" s="27">
        <f t="shared" si="63"/>
        <v>21746587</v>
      </c>
      <c r="AC63" s="27">
        <v>1227805</v>
      </c>
      <c r="AD63" s="27">
        <v>0</v>
      </c>
      <c r="AE63" s="27">
        <f>AC63+AD63</f>
        <v>1227805</v>
      </c>
      <c r="AF63" s="27">
        <v>0</v>
      </c>
      <c r="AG63" s="27">
        <v>377156</v>
      </c>
      <c r="AH63" s="27">
        <v>360296</v>
      </c>
      <c r="AI63" s="27">
        <v>139622</v>
      </c>
      <c r="AJ63" s="26">
        <v>41821</v>
      </c>
      <c r="AK63" s="39">
        <v>0</v>
      </c>
      <c r="AL63" s="39">
        <v>2804649</v>
      </c>
      <c r="AM63" s="39">
        <f>AL63-AK63</f>
        <v>2804649</v>
      </c>
      <c r="AN63" s="40">
        <v>0</v>
      </c>
      <c r="AO63" s="40">
        <v>0.04</v>
      </c>
      <c r="AP63" s="50" t="s">
        <v>289</v>
      </c>
      <c r="AQ63" s="27">
        <v>610674</v>
      </c>
      <c r="AR63" s="27">
        <v>610674</v>
      </c>
      <c r="AS63" s="27">
        <v>13757</v>
      </c>
      <c r="AT63" s="27">
        <v>0</v>
      </c>
      <c r="AU63" s="27">
        <v>0</v>
      </c>
      <c r="AV63" s="27">
        <v>420203</v>
      </c>
      <c r="AW63" s="27">
        <v>3783046</v>
      </c>
      <c r="AX63" s="27">
        <f t="shared" si="59"/>
        <v>4217006</v>
      </c>
      <c r="AY63" s="27">
        <v>39869</v>
      </c>
      <c r="AZ63" s="27">
        <v>393865</v>
      </c>
      <c r="BA63" s="27">
        <v>513133</v>
      </c>
      <c r="BB63" s="27">
        <v>654681</v>
      </c>
      <c r="BC63" s="27">
        <v>1211604</v>
      </c>
      <c r="BD63" s="27">
        <f t="shared" si="60"/>
        <v>2813152</v>
      </c>
      <c r="BE63" s="29">
        <f t="shared" si="38"/>
        <v>1.3536932560971935E-2</v>
      </c>
      <c r="BF63" s="29">
        <f t="shared" si="39"/>
        <v>0.12101079597270216</v>
      </c>
      <c r="BG63" s="29">
        <f t="shared" si="40"/>
        <v>0.41892307886355951</v>
      </c>
      <c r="BH63" s="42">
        <f>VLOOKUP(B63,Unemployment!$A$2:$F$193,6,0)</f>
        <v>-0.79999999999999982</v>
      </c>
      <c r="BI63" s="29">
        <f>VLOOKUP(B63,Zillow!$C$11:$R$193,16,0)</f>
        <v>4.6348377806775714E-3</v>
      </c>
      <c r="BJ63" s="5"/>
      <c r="BK63" s="6">
        <v>10</v>
      </c>
      <c r="BL63" s="6">
        <v>40</v>
      </c>
      <c r="BM63" s="6">
        <v>30</v>
      </c>
      <c r="BN63" s="6">
        <v>10</v>
      </c>
      <c r="BO63" s="6">
        <v>10</v>
      </c>
      <c r="BP63" s="5"/>
      <c r="BQ63" s="43">
        <v>0.2</v>
      </c>
      <c r="BR63" s="43">
        <v>0.02</v>
      </c>
      <c r="BS63" s="43">
        <v>2.2000000000000002</v>
      </c>
      <c r="BT63" s="44">
        <v>0.02</v>
      </c>
      <c r="BU63" s="43">
        <v>-7.0000000000000007E-2</v>
      </c>
      <c r="BV63" s="5"/>
      <c r="BW63" s="43">
        <v>0.05</v>
      </c>
      <c r="BX63" s="43">
        <v>0.32</v>
      </c>
      <c r="BY63" s="43">
        <v>0.4</v>
      </c>
      <c r="BZ63" s="44">
        <v>0</v>
      </c>
      <c r="CA63" s="43">
        <v>0.03</v>
      </c>
      <c r="CB63" s="5"/>
      <c r="CC63" s="45">
        <f t="shared" si="41"/>
        <v>-1.5000000000000003E-2</v>
      </c>
      <c r="CD63" s="45">
        <f t="shared" si="42"/>
        <v>7.4999999999999997E-3</v>
      </c>
      <c r="CE63" s="45">
        <f t="shared" si="43"/>
        <v>-6.0000000000000012E-2</v>
      </c>
      <c r="CF63" s="46">
        <f t="shared" si="44"/>
        <v>-2E-3</v>
      </c>
      <c r="CG63" s="45">
        <f t="shared" si="45"/>
        <v>0.01</v>
      </c>
      <c r="CH63" s="5"/>
      <c r="CI63" s="44">
        <f t="shared" si="46"/>
        <v>10</v>
      </c>
      <c r="CJ63" s="44">
        <f t="shared" si="47"/>
        <v>13.468106129693622</v>
      </c>
      <c r="CK63" s="44">
        <f t="shared" si="48"/>
        <v>29.684615352274005</v>
      </c>
      <c r="CL63" s="44">
        <f t="shared" si="49"/>
        <v>10</v>
      </c>
      <c r="CM63" s="44">
        <f t="shared" si="50"/>
        <v>7.463483778067757</v>
      </c>
      <c r="CN63" s="47">
        <f t="shared" si="51"/>
        <v>0</v>
      </c>
      <c r="CO63" s="5"/>
      <c r="CP63" s="47">
        <f t="shared" si="52"/>
        <v>2.1036932560971937E-2</v>
      </c>
      <c r="CQ63" s="47">
        <f t="shared" si="53"/>
        <v>2.5010795972702171E-2</v>
      </c>
      <c r="CR63" s="47">
        <f t="shared" si="54"/>
        <v>1.1389230788635598</v>
      </c>
      <c r="CS63" s="47">
        <f t="shared" si="55"/>
        <v>0.79999999999999982</v>
      </c>
      <c r="CT63" s="47">
        <f t="shared" si="56"/>
        <v>1.6348377806775717E-3</v>
      </c>
      <c r="CU63" s="47">
        <f t="shared" si="57"/>
        <v>1.9866056451779113</v>
      </c>
    </row>
    <row r="64" spans="1:99" ht="15" customHeight="1">
      <c r="A64" s="5"/>
      <c r="B64" s="37" t="s">
        <v>55</v>
      </c>
      <c r="C64" s="37" t="s">
        <v>252</v>
      </c>
      <c r="D64" s="37" t="s">
        <v>255</v>
      </c>
      <c r="E64" s="26">
        <v>42551</v>
      </c>
      <c r="F64" s="38">
        <f t="shared" si="37"/>
        <v>67.828946510100877</v>
      </c>
      <c r="G64" s="4">
        <f>I64-32224274-180798834</f>
        <v>53121629</v>
      </c>
      <c r="H64" s="4">
        <v>10948141</v>
      </c>
      <c r="I64" s="4">
        <v>266144737</v>
      </c>
      <c r="J64" s="4">
        <v>179700955</v>
      </c>
      <c r="K64" s="4">
        <v>17012268</v>
      </c>
      <c r="L64" s="4">
        <v>84360348</v>
      </c>
      <c r="M64" s="4">
        <v>702498</v>
      </c>
      <c r="N64" s="4">
        <v>13778985</v>
      </c>
      <c r="O64" s="4">
        <v>46302479</v>
      </c>
      <c r="P64" s="4">
        <f t="shared" si="65"/>
        <v>145144310</v>
      </c>
      <c r="Q64" s="4">
        <v>148228503</v>
      </c>
      <c r="R64" s="4">
        <v>-3084193</v>
      </c>
      <c r="S64" s="27">
        <v>126267855</v>
      </c>
      <c r="T64" s="27">
        <v>128364974</v>
      </c>
      <c r="U64" s="27">
        <v>145137413</v>
      </c>
      <c r="V64" s="27">
        <v>149425212</v>
      </c>
      <c r="W64" s="27">
        <v>-3976568</v>
      </c>
      <c r="X64" s="27">
        <v>6248831</v>
      </c>
      <c r="Y64" s="27">
        <v>20245383</v>
      </c>
      <c r="Z64" s="27">
        <v>0</v>
      </c>
      <c r="AA64" s="27">
        <f>80649764-Y64-X64</f>
        <v>54155550</v>
      </c>
      <c r="AB64" s="27">
        <f t="shared" si="63"/>
        <v>80649764</v>
      </c>
      <c r="AC64" s="27">
        <v>-1184919</v>
      </c>
      <c r="AD64" s="27">
        <v>0</v>
      </c>
      <c r="AE64" s="27">
        <f>AC64+AD64</f>
        <v>-1184919</v>
      </c>
      <c r="AF64" s="27">
        <v>0</v>
      </c>
      <c r="AG64" s="27">
        <v>3799204</v>
      </c>
      <c r="AH64" s="27">
        <v>3789333</v>
      </c>
      <c r="AI64" s="27">
        <v>3709834</v>
      </c>
      <c r="AJ64" s="26">
        <v>42186</v>
      </c>
      <c r="AK64" s="39">
        <v>13351000</v>
      </c>
      <c r="AL64" s="39">
        <v>48924000</v>
      </c>
      <c r="AM64" s="39">
        <f>AL64-AK64</f>
        <v>35573000</v>
      </c>
      <c r="AN64" s="40">
        <v>0.27300000000000002</v>
      </c>
      <c r="AO64" s="40">
        <v>7.4999999999999997E-2</v>
      </c>
      <c r="AP64" s="40">
        <v>3.7499999999999999E-2</v>
      </c>
      <c r="AQ64" s="27">
        <f t="shared" ref="AQ64:AR64" si="69">2553991+8971+392293</f>
        <v>2955255</v>
      </c>
      <c r="AR64" s="27">
        <f t="shared" si="69"/>
        <v>2955255</v>
      </c>
      <c r="AS64" s="27">
        <v>0</v>
      </c>
      <c r="AT64" s="27">
        <v>0</v>
      </c>
      <c r="AU64" s="27">
        <v>666693</v>
      </c>
      <c r="AV64" s="27">
        <v>2026112</v>
      </c>
      <c r="AW64" s="27">
        <v>10097227</v>
      </c>
      <c r="AX64" s="27">
        <f t="shared" si="59"/>
        <v>12790032</v>
      </c>
      <c r="AY64" s="27">
        <v>252753</v>
      </c>
      <c r="AZ64" s="27">
        <v>10246352</v>
      </c>
      <c r="BA64" s="27">
        <v>6234890</v>
      </c>
      <c r="BB64" s="27">
        <v>2026112</v>
      </c>
      <c r="BC64" s="27">
        <v>10097227</v>
      </c>
      <c r="BD64" s="27">
        <f t="shared" si="60"/>
        <v>28857334</v>
      </c>
      <c r="BE64" s="29">
        <f t="shared" si="38"/>
        <v>2.0360805049815595E-2</v>
      </c>
      <c r="BF64" s="29">
        <f t="shared" si="39"/>
        <v>9.9638021194161583E-2</v>
      </c>
      <c r="BG64" s="29">
        <f t="shared" si="40"/>
        <v>0.41616775056493777</v>
      </c>
      <c r="BH64" s="42">
        <f>VLOOKUP(B64,Unemployment!$A$2:$F$193,6,0)</f>
        <v>-0.79999999999999982</v>
      </c>
      <c r="BI64" s="52">
        <f>VLOOKUP(VLOOKUP(B64,Counties!$A$20:$E$189,2,0),Zillow!$C$3:$R$10,16,0)</f>
        <v>4.8000619362829587E-3</v>
      </c>
      <c r="BJ64" s="5"/>
      <c r="BK64" s="6">
        <v>10</v>
      </c>
      <c r="BL64" s="6">
        <v>40</v>
      </c>
      <c r="BM64" s="6">
        <v>30</v>
      </c>
      <c r="BN64" s="6">
        <v>10</v>
      </c>
      <c r="BO64" s="6">
        <v>10</v>
      </c>
      <c r="BP64" s="5"/>
      <c r="BQ64" s="43">
        <v>0.2</v>
      </c>
      <c r="BR64" s="43">
        <v>0.02</v>
      </c>
      <c r="BS64" s="43">
        <v>2.2000000000000002</v>
      </c>
      <c r="BT64" s="44">
        <v>0.02</v>
      </c>
      <c r="BU64" s="43">
        <v>-7.0000000000000007E-2</v>
      </c>
      <c r="BV64" s="5"/>
      <c r="BW64" s="43">
        <v>0.05</v>
      </c>
      <c r="BX64" s="43">
        <v>0.32</v>
      </c>
      <c r="BY64" s="43">
        <v>0.4</v>
      </c>
      <c r="BZ64" s="44">
        <v>0</v>
      </c>
      <c r="CA64" s="43">
        <v>0.03</v>
      </c>
      <c r="CB64" s="5"/>
      <c r="CC64" s="45">
        <f t="shared" si="41"/>
        <v>-1.5000000000000003E-2</v>
      </c>
      <c r="CD64" s="45">
        <f t="shared" si="42"/>
        <v>7.4999999999999997E-3</v>
      </c>
      <c r="CE64" s="45">
        <f t="shared" si="43"/>
        <v>-6.0000000000000012E-2</v>
      </c>
      <c r="CF64" s="46">
        <f t="shared" si="44"/>
        <v>-2E-3</v>
      </c>
      <c r="CG64" s="45">
        <f t="shared" si="45"/>
        <v>0.01</v>
      </c>
      <c r="CH64" s="5"/>
      <c r="CI64" s="44">
        <f t="shared" si="46"/>
        <v>10</v>
      </c>
      <c r="CJ64" s="44">
        <f t="shared" si="47"/>
        <v>10.618402825888211</v>
      </c>
      <c r="CK64" s="44">
        <f t="shared" si="48"/>
        <v>29.730537490584368</v>
      </c>
      <c r="CL64" s="44">
        <f t="shared" si="49"/>
        <v>10</v>
      </c>
      <c r="CM64" s="44">
        <f t="shared" si="50"/>
        <v>7.4800061936282969</v>
      </c>
      <c r="CN64" s="47">
        <f t="shared" si="51"/>
        <v>0</v>
      </c>
      <c r="CO64" s="5"/>
      <c r="CP64" s="47">
        <f t="shared" si="52"/>
        <v>2.7860805049815598E-2</v>
      </c>
      <c r="CQ64" s="47">
        <f t="shared" si="53"/>
        <v>3.6380211941615948E-3</v>
      </c>
      <c r="CR64" s="47">
        <f t="shared" si="54"/>
        <v>1.1361677505649379</v>
      </c>
      <c r="CS64" s="47">
        <f t="shared" si="55"/>
        <v>0.79999999999999982</v>
      </c>
      <c r="CT64" s="47">
        <f t="shared" si="56"/>
        <v>1.8000619362829591E-3</v>
      </c>
      <c r="CU64" s="47">
        <f t="shared" si="57"/>
        <v>1.969466638745198</v>
      </c>
    </row>
    <row r="65" spans="1:99" ht="15" customHeight="1">
      <c r="A65" s="5"/>
      <c r="B65" s="37" t="s">
        <v>27</v>
      </c>
      <c r="C65" s="37" t="s">
        <v>252</v>
      </c>
      <c r="D65" s="37" t="s">
        <v>255</v>
      </c>
      <c r="E65" s="26">
        <v>42551</v>
      </c>
      <c r="F65" s="38">
        <f t="shared" si="37"/>
        <v>62.618445053364297</v>
      </c>
      <c r="G65" s="4">
        <f>I65-114152096-58786491</f>
        <v>19454439</v>
      </c>
      <c r="H65" s="4">
        <f>149110988-5603823-107307616</f>
        <v>36199549</v>
      </c>
      <c r="I65" s="4">
        <f>191059080+1333946</f>
        <v>192393026</v>
      </c>
      <c r="J65" s="4">
        <f>50175509+1333946</f>
        <v>51509455</v>
      </c>
      <c r="K65" s="4">
        <f>-10326148+1333946</f>
        <v>-8992202</v>
      </c>
      <c r="L65" s="4">
        <f>86544121+1441107</f>
        <v>87985228</v>
      </c>
      <c r="M65" s="4">
        <v>100652</v>
      </c>
      <c r="N65" s="4">
        <f>5375726+46169</f>
        <v>5421895</v>
      </c>
      <c r="O65" s="4">
        <f>13500232+368662</f>
        <v>13868894</v>
      </c>
      <c r="P65" s="4">
        <f t="shared" si="65"/>
        <v>107376669</v>
      </c>
      <c r="Q65" s="4">
        <f>101442571+1695057</f>
        <v>103137628</v>
      </c>
      <c r="R65" s="4">
        <f>4078160+160881</f>
        <v>4239041</v>
      </c>
      <c r="S65" s="27">
        <v>98649042</v>
      </c>
      <c r="T65" s="27">
        <v>97058562</v>
      </c>
      <c r="U65" s="27">
        <v>104455490</v>
      </c>
      <c r="V65" s="27">
        <v>121282627</v>
      </c>
      <c r="W65" s="27">
        <v>1733491</v>
      </c>
      <c r="X65" s="27">
        <v>5638823</v>
      </c>
      <c r="Y65" s="27">
        <v>9827026</v>
      </c>
      <c r="Z65" s="27">
        <v>5350416</v>
      </c>
      <c r="AA65" s="27">
        <f>112911439-Z65-Y65-X65</f>
        <v>92095174</v>
      </c>
      <c r="AB65" s="27">
        <f t="shared" si="63"/>
        <v>112911439</v>
      </c>
      <c r="AC65" s="27">
        <v>5350416</v>
      </c>
      <c r="AD65" s="27">
        <v>0</v>
      </c>
      <c r="AE65" s="27">
        <f>AC65+AD65</f>
        <v>5350416</v>
      </c>
      <c r="AF65" s="27">
        <v>0</v>
      </c>
      <c r="AG65" s="27">
        <v>1424200</v>
      </c>
      <c r="AH65" s="27">
        <v>1455300</v>
      </c>
      <c r="AI65" s="27">
        <v>778500</v>
      </c>
      <c r="AJ65" s="26">
        <v>42186</v>
      </c>
      <c r="AK65" s="39">
        <v>0</v>
      </c>
      <c r="AL65" s="39">
        <v>28564000</v>
      </c>
      <c r="AM65" s="39">
        <f>AL65-AK65</f>
        <v>28564000</v>
      </c>
      <c r="AN65" s="40">
        <v>0</v>
      </c>
      <c r="AO65" s="40">
        <v>0.04</v>
      </c>
      <c r="AP65" s="40">
        <v>0.04</v>
      </c>
      <c r="AQ65" s="27">
        <f>1014989+437809</f>
        <v>1452798</v>
      </c>
      <c r="AR65" s="27">
        <f>957362+785553</f>
        <v>1742915</v>
      </c>
      <c r="AS65" s="27">
        <v>58117</v>
      </c>
      <c r="AT65" s="27">
        <v>668304</v>
      </c>
      <c r="AU65" s="27">
        <v>312053</v>
      </c>
      <c r="AV65" s="27">
        <v>1386953</v>
      </c>
      <c r="AW65" s="27">
        <v>8216230</v>
      </c>
      <c r="AX65" s="27">
        <f t="shared" si="59"/>
        <v>10641657</v>
      </c>
      <c r="AY65" s="27">
        <v>67656</v>
      </c>
      <c r="AZ65" s="27">
        <v>765636</v>
      </c>
      <c r="BA65" s="27">
        <v>3556111</v>
      </c>
      <c r="BB65" s="27">
        <v>1386953</v>
      </c>
      <c r="BC65" s="27">
        <v>-25126601</v>
      </c>
      <c r="BD65" s="27">
        <f t="shared" si="60"/>
        <v>-19350245</v>
      </c>
      <c r="BE65" s="29">
        <f t="shared" si="38"/>
        <v>1.3529922408004666E-2</v>
      </c>
      <c r="BF65" s="29">
        <f t="shared" si="39"/>
        <v>0.10964160997975635</v>
      </c>
      <c r="BG65" s="29">
        <f t="shared" si="40"/>
        <v>0.96002617663619272</v>
      </c>
      <c r="BH65" s="42">
        <f>VLOOKUP(B65,Unemployment!$A$2:$F$193,6,0)</f>
        <v>-0.5</v>
      </c>
      <c r="BI65" s="29">
        <f>VLOOKUP(B65,Zillow!$C$11:$R$193,16,0)</f>
        <v>3.0034210215878369E-2</v>
      </c>
      <c r="BJ65" s="5"/>
      <c r="BK65" s="6">
        <v>10</v>
      </c>
      <c r="BL65" s="6">
        <v>40</v>
      </c>
      <c r="BM65" s="6">
        <v>30</v>
      </c>
      <c r="BN65" s="6">
        <v>10</v>
      </c>
      <c r="BO65" s="6">
        <v>10</v>
      </c>
      <c r="BP65" s="5"/>
      <c r="BQ65" s="43">
        <v>0.2</v>
      </c>
      <c r="BR65" s="43">
        <v>0.02</v>
      </c>
      <c r="BS65" s="43">
        <v>2.2000000000000002</v>
      </c>
      <c r="BT65" s="44">
        <v>0.02</v>
      </c>
      <c r="BU65" s="43">
        <v>-7.0000000000000007E-2</v>
      </c>
      <c r="BV65" s="5"/>
      <c r="BW65" s="43">
        <v>0.05</v>
      </c>
      <c r="BX65" s="43">
        <v>0.32</v>
      </c>
      <c r="BY65" s="43">
        <v>0.4</v>
      </c>
      <c r="BZ65" s="44">
        <v>0</v>
      </c>
      <c r="CA65" s="43">
        <v>0.03</v>
      </c>
      <c r="CB65" s="5"/>
      <c r="CC65" s="45">
        <f t="shared" si="41"/>
        <v>-1.5000000000000003E-2</v>
      </c>
      <c r="CD65" s="45">
        <f t="shared" si="42"/>
        <v>7.4999999999999997E-3</v>
      </c>
      <c r="CE65" s="45">
        <f t="shared" si="43"/>
        <v>-6.0000000000000012E-2</v>
      </c>
      <c r="CF65" s="46">
        <f t="shared" si="44"/>
        <v>-2E-3</v>
      </c>
      <c r="CG65" s="45">
        <f t="shared" si="45"/>
        <v>0.01</v>
      </c>
      <c r="CH65" s="5"/>
      <c r="CI65" s="44">
        <f t="shared" si="46"/>
        <v>10</v>
      </c>
      <c r="CJ65" s="44">
        <f t="shared" si="47"/>
        <v>11.952214663967514</v>
      </c>
      <c r="CK65" s="44">
        <f t="shared" si="48"/>
        <v>20.666230389396784</v>
      </c>
      <c r="CL65" s="44">
        <f t="shared" si="49"/>
        <v>10</v>
      </c>
      <c r="CM65" s="44">
        <f t="shared" si="50"/>
        <v>10</v>
      </c>
      <c r="CN65" s="47">
        <f t="shared" si="51"/>
        <v>0</v>
      </c>
      <c r="CO65" s="5"/>
      <c r="CP65" s="47">
        <f t="shared" si="52"/>
        <v>2.1029922408004668E-2</v>
      </c>
      <c r="CQ65" s="47">
        <f t="shared" si="53"/>
        <v>1.3641609979756358E-2</v>
      </c>
      <c r="CR65" s="47">
        <f t="shared" si="54"/>
        <v>1.680026176636193</v>
      </c>
      <c r="CS65" s="47">
        <f t="shared" si="55"/>
        <v>0.5</v>
      </c>
      <c r="CT65" s="47">
        <f t="shared" si="56"/>
        <v>2.703421021587837E-2</v>
      </c>
      <c r="CU65" s="47">
        <f t="shared" si="57"/>
        <v>2.2417319192398328</v>
      </c>
    </row>
    <row r="66" spans="1:99" ht="15" customHeight="1">
      <c r="A66" s="5"/>
      <c r="B66" s="37" t="s">
        <v>107</v>
      </c>
      <c r="C66" s="37" t="s">
        <v>252</v>
      </c>
      <c r="D66" s="37" t="s">
        <v>255</v>
      </c>
      <c r="E66" s="26">
        <v>42551</v>
      </c>
      <c r="F66" s="38">
        <f t="shared" si="37"/>
        <v>75.832867568572595</v>
      </c>
      <c r="G66" s="4">
        <f>I66-1961194-19583438</f>
        <v>10155839</v>
      </c>
      <c r="H66" s="4">
        <f>5105243-158318-4070454</f>
        <v>876471</v>
      </c>
      <c r="I66" s="4">
        <v>31700471</v>
      </c>
      <c r="J66" s="4">
        <v>27209248</v>
      </c>
      <c r="K66" s="4">
        <v>7998063</v>
      </c>
      <c r="L66" s="4">
        <v>27782047</v>
      </c>
      <c r="M66" s="4">
        <v>331649</v>
      </c>
      <c r="N66" s="4">
        <v>422763</v>
      </c>
      <c r="O66" s="4">
        <v>1999234</v>
      </c>
      <c r="P66" s="4">
        <f t="shared" si="65"/>
        <v>30535693</v>
      </c>
      <c r="Q66" s="4">
        <v>31316139</v>
      </c>
      <c r="R66" s="4">
        <v>-780446</v>
      </c>
      <c r="S66" s="27">
        <v>31270809</v>
      </c>
      <c r="T66" s="27">
        <v>29688179</v>
      </c>
      <c r="U66" s="27">
        <v>31562809</v>
      </c>
      <c r="V66" s="27">
        <v>31125056</v>
      </c>
      <c r="W66" s="27">
        <v>535430</v>
      </c>
      <c r="X66" s="27">
        <v>158318</v>
      </c>
      <c r="Y66" s="27">
        <v>1505490</v>
      </c>
      <c r="Z66" s="27">
        <v>0</v>
      </c>
      <c r="AA66" s="27">
        <f>4228772-Y66-X66</f>
        <v>2564964</v>
      </c>
      <c r="AB66" s="27">
        <f t="shared" si="63"/>
        <v>4228772</v>
      </c>
      <c r="AC66" s="27"/>
      <c r="AD66" s="27"/>
      <c r="AE66" s="27"/>
      <c r="AF66" s="27"/>
      <c r="AG66" s="27"/>
      <c r="AH66" s="27"/>
      <c r="AI66" s="27"/>
      <c r="AJ66" s="26"/>
      <c r="AK66" s="39"/>
      <c r="AL66" s="39"/>
      <c r="AM66" s="39"/>
      <c r="AN66" s="40"/>
      <c r="AO66" s="40"/>
      <c r="AP66" s="40"/>
      <c r="AQ66" s="27">
        <f>255222+96615</f>
        <v>351837</v>
      </c>
      <c r="AR66" s="27">
        <f>256564+60922</f>
        <v>317486</v>
      </c>
      <c r="AS66" s="27">
        <v>0</v>
      </c>
      <c r="AT66" s="27">
        <v>0</v>
      </c>
      <c r="AU66" s="27">
        <v>0</v>
      </c>
      <c r="AV66" s="27">
        <v>128000</v>
      </c>
      <c r="AW66" s="27">
        <v>4673377</v>
      </c>
      <c r="AX66" s="27">
        <f t="shared" si="59"/>
        <v>4801377</v>
      </c>
      <c r="AY66" s="27">
        <v>66112</v>
      </c>
      <c r="AZ66" s="27">
        <v>102998</v>
      </c>
      <c r="BA66" s="27">
        <v>3054851</v>
      </c>
      <c r="BB66" s="27">
        <v>804137</v>
      </c>
      <c r="BC66" s="27">
        <v>4673377</v>
      </c>
      <c r="BD66" s="27">
        <f t="shared" si="60"/>
        <v>8701475</v>
      </c>
      <c r="BE66" s="29">
        <f t="shared" si="38"/>
        <v>1.152215540023932E-2</v>
      </c>
      <c r="BF66" s="29">
        <f t="shared" si="39"/>
        <v>0.1617268947347697</v>
      </c>
      <c r="BG66" s="29">
        <f t="shared" si="40"/>
        <v>8.9183566261292979E-2</v>
      </c>
      <c r="BH66" s="42">
        <f>VLOOKUP(B66,Unemployment!$A$2:$F$193,6,0)</f>
        <v>-0.59999999999999964</v>
      </c>
      <c r="BI66" s="29">
        <f>VLOOKUP(B66,Zillow!$C$11:$R$193,16,0)</f>
        <v>-6.4051729396693701E-4</v>
      </c>
      <c r="BJ66" s="5"/>
      <c r="BK66" s="6">
        <v>10</v>
      </c>
      <c r="BL66" s="6">
        <v>40</v>
      </c>
      <c r="BM66" s="6">
        <v>30</v>
      </c>
      <c r="BN66" s="6">
        <v>10</v>
      </c>
      <c r="BO66" s="6">
        <v>10</v>
      </c>
      <c r="BP66" s="5"/>
      <c r="BQ66" s="43">
        <v>0.2</v>
      </c>
      <c r="BR66" s="43">
        <v>0.02</v>
      </c>
      <c r="BS66" s="43">
        <v>2.2000000000000002</v>
      </c>
      <c r="BT66" s="44">
        <v>0.02</v>
      </c>
      <c r="BU66" s="43">
        <v>-7.0000000000000007E-2</v>
      </c>
      <c r="BV66" s="5"/>
      <c r="BW66" s="43">
        <v>0.05</v>
      </c>
      <c r="BX66" s="43">
        <v>0.32</v>
      </c>
      <c r="BY66" s="43">
        <v>0.4</v>
      </c>
      <c r="BZ66" s="44">
        <v>0</v>
      </c>
      <c r="CA66" s="43">
        <v>0.03</v>
      </c>
      <c r="CB66" s="5"/>
      <c r="CC66" s="45">
        <f t="shared" si="41"/>
        <v>-1.5000000000000003E-2</v>
      </c>
      <c r="CD66" s="45">
        <f t="shared" si="42"/>
        <v>7.4999999999999997E-3</v>
      </c>
      <c r="CE66" s="45">
        <f t="shared" si="43"/>
        <v>-6.0000000000000012E-2</v>
      </c>
      <c r="CF66" s="46">
        <f t="shared" si="44"/>
        <v>-2E-3</v>
      </c>
      <c r="CG66" s="45">
        <f t="shared" si="45"/>
        <v>0.01</v>
      </c>
      <c r="CH66" s="5"/>
      <c r="CI66" s="44">
        <f t="shared" si="46"/>
        <v>10</v>
      </c>
      <c r="CJ66" s="44">
        <f t="shared" si="47"/>
        <v>18.896919297969294</v>
      </c>
      <c r="CK66" s="44">
        <f t="shared" si="48"/>
        <v>30</v>
      </c>
      <c r="CL66" s="44">
        <f t="shared" si="49"/>
        <v>10</v>
      </c>
      <c r="CM66" s="44">
        <f t="shared" si="50"/>
        <v>6.9359482706033067</v>
      </c>
      <c r="CN66" s="47">
        <f t="shared" si="51"/>
        <v>0</v>
      </c>
      <c r="CO66" s="5"/>
      <c r="CP66" s="47">
        <f t="shared" si="52"/>
        <v>1.9022155400239323E-2</v>
      </c>
      <c r="CQ66" s="47">
        <f t="shared" si="53"/>
        <v>6.5726894734769711E-2</v>
      </c>
      <c r="CR66" s="47">
        <f t="shared" si="54"/>
        <v>0.80918356626129317</v>
      </c>
      <c r="CS66" s="47">
        <f t="shared" si="55"/>
        <v>0.59999999999999964</v>
      </c>
      <c r="CT66" s="47">
        <f t="shared" si="56"/>
        <v>3.6405172939669365E-3</v>
      </c>
      <c r="CU66" s="47">
        <f t="shared" si="57"/>
        <v>1.4975731336902687</v>
      </c>
    </row>
    <row r="67" spans="1:99" ht="15" customHeight="1">
      <c r="A67" s="5"/>
      <c r="B67" s="37" t="s">
        <v>0</v>
      </c>
      <c r="C67" s="37" t="s">
        <v>252</v>
      </c>
      <c r="D67" s="37" t="s">
        <v>255</v>
      </c>
      <c r="E67" s="26">
        <v>42551</v>
      </c>
      <c r="F67" s="38">
        <f t="shared" si="37"/>
        <v>24.600958435632634</v>
      </c>
      <c r="G67" s="4">
        <f>305240578-58025359-200094672</f>
        <v>47120547</v>
      </c>
      <c r="H67" s="4">
        <f>802038203-15784240-768410217</f>
        <v>17843746</v>
      </c>
      <c r="I67" s="4">
        <v>305240578</v>
      </c>
      <c r="J67" s="4">
        <v>-505760408</v>
      </c>
      <c r="K67" s="4">
        <v>-641037317</v>
      </c>
      <c r="L67" s="4">
        <v>171210285</v>
      </c>
      <c r="M67" s="4">
        <v>4639</v>
      </c>
      <c r="N67" s="4">
        <v>7345929</v>
      </c>
      <c r="O67" s="4">
        <v>55371251</v>
      </c>
      <c r="P67" s="4">
        <f t="shared" si="65"/>
        <v>233932104</v>
      </c>
      <c r="Q67" s="4">
        <v>267192872</v>
      </c>
      <c r="R67" s="4">
        <v>-33260768</v>
      </c>
      <c r="S67" s="27">
        <v>217509730</v>
      </c>
      <c r="T67" s="27">
        <v>222551036</v>
      </c>
      <c r="U67" s="27">
        <v>231538491</v>
      </c>
      <c r="V67" s="27">
        <v>249972695</v>
      </c>
      <c r="W67" s="27">
        <v>-2483051</v>
      </c>
      <c r="X67" s="27">
        <v>15784240</v>
      </c>
      <c r="Y67" s="27">
        <f>286688533+7642956</f>
        <v>294331489</v>
      </c>
      <c r="Z67" s="27">
        <v>171272584</v>
      </c>
      <c r="AA67" s="27">
        <f>784194457-Z67-Y67-X67</f>
        <v>302806144</v>
      </c>
      <c r="AB67" s="27">
        <f t="shared" si="63"/>
        <v>784194457</v>
      </c>
      <c r="AC67" s="27">
        <v>171272584</v>
      </c>
      <c r="AD67" s="27">
        <v>0</v>
      </c>
      <c r="AE67" s="27">
        <f>AC67+AD67</f>
        <v>171272584</v>
      </c>
      <c r="AF67" s="27">
        <v>0</v>
      </c>
      <c r="AG67" s="27">
        <v>39778717</v>
      </c>
      <c r="AH67" s="27">
        <v>35570962</v>
      </c>
      <c r="AI67" s="27">
        <v>18377480</v>
      </c>
      <c r="AJ67" s="26">
        <v>41821</v>
      </c>
      <c r="AK67" s="39">
        <v>0</v>
      </c>
      <c r="AL67" s="39">
        <v>451966876</v>
      </c>
      <c r="AM67" s="39">
        <f>AL67-AK67</f>
        <v>451966876</v>
      </c>
      <c r="AN67" s="40">
        <v>0</v>
      </c>
      <c r="AO67" s="40">
        <v>0.04</v>
      </c>
      <c r="AP67" s="40">
        <v>0.02</v>
      </c>
      <c r="AQ67" s="27">
        <v>21998113</v>
      </c>
      <c r="AR67" s="27">
        <v>12100000</v>
      </c>
      <c r="AS67" s="27">
        <v>0</v>
      </c>
      <c r="AT67" s="27">
        <v>0</v>
      </c>
      <c r="AU67" s="27">
        <v>0</v>
      </c>
      <c r="AV67" s="27">
        <v>0</v>
      </c>
      <c r="AW67" s="27">
        <v>2960701</v>
      </c>
      <c r="AX67" s="27">
        <f t="shared" si="59"/>
        <v>2960701</v>
      </c>
      <c r="AY67" s="27">
        <v>21207</v>
      </c>
      <c r="AZ67" s="27">
        <f>10943+20467891+1477730</f>
        <v>21956564</v>
      </c>
      <c r="BA67" s="27">
        <v>1708066</v>
      </c>
      <c r="BB67" s="27">
        <v>0</v>
      </c>
      <c r="BC67" s="27">
        <v>1479969</v>
      </c>
      <c r="BD67" s="27">
        <f t="shared" si="60"/>
        <v>25165806</v>
      </c>
      <c r="BE67" s="29">
        <f t="shared" si="38"/>
        <v>9.4036314912980049E-2</v>
      </c>
      <c r="BF67" s="29">
        <f t="shared" si="39"/>
        <v>1.3303469861178269E-2</v>
      </c>
      <c r="BG67" s="29">
        <f t="shared" si="40"/>
        <v>2.0940390806727409</v>
      </c>
      <c r="BH67" s="42">
        <f>VLOOKUP(B67,Unemployment!$A$2:$F$193,6,0)</f>
        <v>-0.5</v>
      </c>
      <c r="BI67" s="29">
        <f>VLOOKUP(B67,Zillow!$C$11:$R$193,16,0)</f>
        <v>-1.2293025589563472E-2</v>
      </c>
      <c r="BJ67" s="5"/>
      <c r="BK67" s="6">
        <v>10</v>
      </c>
      <c r="BL67" s="6">
        <v>40</v>
      </c>
      <c r="BM67" s="6">
        <v>30</v>
      </c>
      <c r="BN67" s="6">
        <v>10</v>
      </c>
      <c r="BO67" s="6">
        <v>10</v>
      </c>
      <c r="BP67" s="5"/>
      <c r="BQ67" s="43">
        <v>0.2</v>
      </c>
      <c r="BR67" s="43">
        <v>0.02</v>
      </c>
      <c r="BS67" s="43">
        <v>2.2000000000000002</v>
      </c>
      <c r="BT67" s="44">
        <v>0.02</v>
      </c>
      <c r="BU67" s="43">
        <v>-7.0000000000000007E-2</v>
      </c>
      <c r="BV67" s="5"/>
      <c r="BW67" s="43">
        <v>0.05</v>
      </c>
      <c r="BX67" s="43">
        <v>0.32</v>
      </c>
      <c r="BY67" s="43">
        <v>0.4</v>
      </c>
      <c r="BZ67" s="44">
        <v>0</v>
      </c>
      <c r="CA67" s="43">
        <v>0.03</v>
      </c>
      <c r="CB67" s="5"/>
      <c r="CC67" s="45">
        <f t="shared" si="41"/>
        <v>-1.5000000000000003E-2</v>
      </c>
      <c r="CD67" s="45">
        <f t="shared" si="42"/>
        <v>7.4999999999999997E-3</v>
      </c>
      <c r="CE67" s="45">
        <f t="shared" si="43"/>
        <v>-6.0000000000000012E-2</v>
      </c>
      <c r="CF67" s="46">
        <f t="shared" si="44"/>
        <v>-2E-3</v>
      </c>
      <c r="CG67" s="45">
        <f t="shared" si="45"/>
        <v>0.01</v>
      </c>
      <c r="CH67" s="5"/>
      <c r="CI67" s="44">
        <f t="shared" si="46"/>
        <v>7.0642456724679965</v>
      </c>
      <c r="CJ67" s="44">
        <f t="shared" si="47"/>
        <v>0</v>
      </c>
      <c r="CK67" s="44">
        <f t="shared" si="48"/>
        <v>1.7660153221209873</v>
      </c>
      <c r="CL67" s="44">
        <f t="shared" si="49"/>
        <v>10</v>
      </c>
      <c r="CM67" s="44">
        <f t="shared" si="50"/>
        <v>5.7706974410436533</v>
      </c>
      <c r="CN67" s="47">
        <f t="shared" si="51"/>
        <v>0</v>
      </c>
      <c r="CO67" s="5"/>
      <c r="CP67" s="47">
        <f t="shared" si="52"/>
        <v>0.10153631491298006</v>
      </c>
      <c r="CQ67" s="47">
        <f t="shared" si="53"/>
        <v>8.2696530138821722E-2</v>
      </c>
      <c r="CR67" s="47">
        <f t="shared" si="54"/>
        <v>2.8140390806727411</v>
      </c>
      <c r="CS67" s="47">
        <f t="shared" si="55"/>
        <v>0.5</v>
      </c>
      <c r="CT67" s="47">
        <f t="shared" si="56"/>
        <v>1.5293025589563471E-2</v>
      </c>
      <c r="CU67" s="47">
        <f t="shared" si="57"/>
        <v>3.5135649513141063</v>
      </c>
    </row>
    <row r="68" spans="1:99" ht="15" customHeight="1">
      <c r="A68" s="5"/>
      <c r="B68" s="37" t="s">
        <v>116</v>
      </c>
      <c r="C68" s="37" t="s">
        <v>252</v>
      </c>
      <c r="D68" s="37" t="s">
        <v>255</v>
      </c>
      <c r="E68" s="26">
        <v>42551</v>
      </c>
      <c r="F68" s="38">
        <f t="shared" si="37"/>
        <v>76.966696920444789</v>
      </c>
      <c r="G68" s="4">
        <v>1514860</v>
      </c>
      <c r="H68" s="4">
        <f>1281096-18774-694895</f>
        <v>567427</v>
      </c>
      <c r="I68" s="4">
        <v>12038679</v>
      </c>
      <c r="J68" s="4">
        <v>10757583</v>
      </c>
      <c r="K68" s="4">
        <v>217418</v>
      </c>
      <c r="L68" s="4">
        <v>4227782</v>
      </c>
      <c r="M68" s="4">
        <v>483715</v>
      </c>
      <c r="N68" s="4">
        <v>89604</v>
      </c>
      <c r="O68" s="4">
        <v>2386299</v>
      </c>
      <c r="P68" s="4">
        <f t="shared" si="65"/>
        <v>7187400</v>
      </c>
      <c r="Q68" s="4">
        <v>6315435</v>
      </c>
      <c r="R68" s="4">
        <v>871965</v>
      </c>
      <c r="S68" s="27">
        <v>5830313</v>
      </c>
      <c r="T68" s="27">
        <v>5405816</v>
      </c>
      <c r="U68" s="27">
        <v>7130622</v>
      </c>
      <c r="V68" s="27">
        <v>6779741</v>
      </c>
      <c r="W68" s="27">
        <v>262653</v>
      </c>
      <c r="X68" s="27">
        <v>0</v>
      </c>
      <c r="Y68" s="27">
        <v>0</v>
      </c>
      <c r="Z68" s="27">
        <v>694895</v>
      </c>
      <c r="AA68" s="27">
        <f>713669-Z68-0</f>
        <v>18774</v>
      </c>
      <c r="AB68" s="27">
        <f t="shared" si="63"/>
        <v>713669</v>
      </c>
      <c r="AC68" s="27">
        <v>694895</v>
      </c>
      <c r="AD68" s="27">
        <v>0</v>
      </c>
      <c r="AE68" s="27">
        <f>AC68+AD68</f>
        <v>694895</v>
      </c>
      <c r="AF68" s="27">
        <v>0</v>
      </c>
      <c r="AG68" s="27">
        <v>62221</v>
      </c>
      <c r="AH68" s="27">
        <v>61302</v>
      </c>
      <c r="AI68" s="27">
        <v>11792</v>
      </c>
      <c r="AJ68" s="26">
        <v>41455</v>
      </c>
      <c r="AK68" s="39">
        <v>0</v>
      </c>
      <c r="AL68" s="39">
        <v>1028489</v>
      </c>
      <c r="AM68" s="39">
        <f>AL68-AK68</f>
        <v>1028489</v>
      </c>
      <c r="AN68" s="40">
        <v>0</v>
      </c>
      <c r="AO68" s="40">
        <v>0.04</v>
      </c>
      <c r="AP68" s="40"/>
      <c r="AQ68" s="27">
        <v>0</v>
      </c>
      <c r="AR68" s="27">
        <v>0</v>
      </c>
      <c r="AS68" s="27">
        <v>6962</v>
      </c>
      <c r="AT68" s="27">
        <v>0</v>
      </c>
      <c r="AU68" s="27">
        <v>0</v>
      </c>
      <c r="AV68" s="27">
        <v>0</v>
      </c>
      <c r="AW68" s="27">
        <v>812442</v>
      </c>
      <c r="AX68" s="27">
        <f t="shared" si="59"/>
        <v>819404</v>
      </c>
      <c r="AY68" s="27">
        <v>14814</v>
      </c>
      <c r="AZ68" s="27">
        <v>3211352</v>
      </c>
      <c r="BA68" s="27">
        <v>312143</v>
      </c>
      <c r="BB68" s="27">
        <v>104211</v>
      </c>
      <c r="BC68" s="27">
        <v>805683</v>
      </c>
      <c r="BD68" s="27">
        <f t="shared" si="60"/>
        <v>4448203</v>
      </c>
      <c r="BE68" s="29">
        <f t="shared" si="38"/>
        <v>0</v>
      </c>
      <c r="BF68" s="29">
        <f t="shared" si="39"/>
        <v>0.15157822611794408</v>
      </c>
      <c r="BG68" s="29">
        <f t="shared" si="40"/>
        <v>9.9294459749005207E-2</v>
      </c>
      <c r="BH68" s="42">
        <f>VLOOKUP(B68,Unemployment!$A$2:$F$193,6,0)</f>
        <v>-0.29999999999999982</v>
      </c>
      <c r="BI68" s="29">
        <f>VLOOKUP(B68,Zillow!$C$11:$R$193,16,0)</f>
        <v>2.4229334380522379E-2</v>
      </c>
      <c r="BJ68" s="5"/>
      <c r="BK68" s="6">
        <v>10</v>
      </c>
      <c r="BL68" s="6">
        <v>40</v>
      </c>
      <c r="BM68" s="6">
        <v>30</v>
      </c>
      <c r="BN68" s="6">
        <v>10</v>
      </c>
      <c r="BO68" s="6">
        <v>10</v>
      </c>
      <c r="BP68" s="5"/>
      <c r="BQ68" s="43">
        <v>0.2</v>
      </c>
      <c r="BR68" s="43">
        <v>0.02</v>
      </c>
      <c r="BS68" s="43">
        <v>2.2000000000000002</v>
      </c>
      <c r="BT68" s="44">
        <v>0.02</v>
      </c>
      <c r="BU68" s="43">
        <v>-7.0000000000000007E-2</v>
      </c>
      <c r="BV68" s="5"/>
      <c r="BW68" s="43">
        <v>0.05</v>
      </c>
      <c r="BX68" s="43">
        <v>0.32</v>
      </c>
      <c r="BY68" s="43">
        <v>0.4</v>
      </c>
      <c r="BZ68" s="44">
        <v>0</v>
      </c>
      <c r="CA68" s="43">
        <v>0.03</v>
      </c>
      <c r="CB68" s="5"/>
      <c r="CC68" s="45">
        <f t="shared" si="41"/>
        <v>-1.5000000000000003E-2</v>
      </c>
      <c r="CD68" s="45">
        <f t="shared" si="42"/>
        <v>7.4999999999999997E-3</v>
      </c>
      <c r="CE68" s="45">
        <f t="shared" si="43"/>
        <v>-6.0000000000000012E-2</v>
      </c>
      <c r="CF68" s="46">
        <f t="shared" si="44"/>
        <v>-2E-3</v>
      </c>
      <c r="CG68" s="45">
        <f t="shared" si="45"/>
        <v>0.01</v>
      </c>
      <c r="CH68" s="5"/>
      <c r="CI68" s="44">
        <f t="shared" si="46"/>
        <v>10</v>
      </c>
      <c r="CJ68" s="44">
        <f t="shared" si="47"/>
        <v>17.543763482392546</v>
      </c>
      <c r="CK68" s="44">
        <f t="shared" si="48"/>
        <v>30</v>
      </c>
      <c r="CL68" s="44">
        <f t="shared" si="49"/>
        <v>10</v>
      </c>
      <c r="CM68" s="44">
        <f t="shared" si="50"/>
        <v>9.4229334380522385</v>
      </c>
      <c r="CN68" s="47">
        <f t="shared" si="51"/>
        <v>0</v>
      </c>
      <c r="CO68" s="5"/>
      <c r="CP68" s="47">
        <f t="shared" si="52"/>
        <v>7.5000000000000023E-3</v>
      </c>
      <c r="CQ68" s="47">
        <f t="shared" si="53"/>
        <v>5.5578226117944093E-2</v>
      </c>
      <c r="CR68" s="47">
        <f t="shared" si="54"/>
        <v>0.81929445974900539</v>
      </c>
      <c r="CS68" s="47">
        <f t="shared" si="55"/>
        <v>0.29999999999999982</v>
      </c>
      <c r="CT68" s="47">
        <f t="shared" si="56"/>
        <v>2.122933438052238E-2</v>
      </c>
      <c r="CU68" s="47">
        <f t="shared" si="57"/>
        <v>1.2036020202474718</v>
      </c>
    </row>
    <row r="69" spans="1:99" ht="15" customHeight="1">
      <c r="A69" s="5"/>
      <c r="B69" s="37" t="s">
        <v>3</v>
      </c>
      <c r="C69" s="37" t="s">
        <v>252</v>
      </c>
      <c r="D69" s="37" t="s">
        <v>258</v>
      </c>
      <c r="E69" s="26">
        <v>42551</v>
      </c>
      <c r="F69" s="38">
        <f t="shared" si="37"/>
        <v>44.492775666222641</v>
      </c>
      <c r="G69" s="4">
        <f>I69-438235000-1154789000</f>
        <v>491235000</v>
      </c>
      <c r="H69" s="4">
        <f>120901000+20772000</f>
        <v>141673000</v>
      </c>
      <c r="I69" s="4">
        <f>2084259000</f>
        <v>2084259000</v>
      </c>
      <c r="J69" s="4">
        <v>669256000</v>
      </c>
      <c r="K69" s="4">
        <v>-318799000</v>
      </c>
      <c r="L69" s="4">
        <v>321769000</v>
      </c>
      <c r="M69" s="4">
        <v>36508000</v>
      </c>
      <c r="N69" s="4">
        <v>31276000</v>
      </c>
      <c r="O69" s="4">
        <v>505894000</v>
      </c>
      <c r="P69" s="4">
        <f t="shared" si="65"/>
        <v>895447000</v>
      </c>
      <c r="Q69" s="4">
        <v>1008712000</v>
      </c>
      <c r="R69" s="4">
        <v>-113265000</v>
      </c>
      <c r="S69" s="27">
        <v>565580000</v>
      </c>
      <c r="T69" s="27">
        <v>565754000</v>
      </c>
      <c r="U69" s="27">
        <v>875622000</v>
      </c>
      <c r="V69" s="27">
        <v>1030900000</v>
      </c>
      <c r="W69" s="27">
        <v>-7795000</v>
      </c>
      <c r="X69" s="27">
        <f>57255000+1621000</f>
        <v>58876000</v>
      </c>
      <c r="Y69" s="27">
        <f>(16869+390004+280+4851)*1000</f>
        <v>412004000</v>
      </c>
      <c r="Z69" s="27">
        <v>71969000</v>
      </c>
      <c r="AA69" s="27">
        <f>1320562000+72594000-1621000-57255000-Z69-Y69</f>
        <v>850307000</v>
      </c>
      <c r="AB69" s="27">
        <f t="shared" si="63"/>
        <v>1393156000</v>
      </c>
      <c r="AC69" s="27">
        <v>71969000</v>
      </c>
      <c r="AD69" s="27">
        <v>0</v>
      </c>
      <c r="AE69" s="27">
        <f>AC69+AD69</f>
        <v>71969000</v>
      </c>
      <c r="AF69" s="27">
        <v>0</v>
      </c>
      <c r="AG69" s="27">
        <v>24394000</v>
      </c>
      <c r="AH69" s="27">
        <v>24627000</v>
      </c>
      <c r="AI69" s="27">
        <v>33683000</v>
      </c>
      <c r="AJ69" s="26">
        <v>42186</v>
      </c>
      <c r="AK69" s="39">
        <v>17868000</v>
      </c>
      <c r="AL69" s="39">
        <v>313061000</v>
      </c>
      <c r="AM69" s="39">
        <f>AL69-AK69</f>
        <v>295193000</v>
      </c>
      <c r="AN69" s="40">
        <v>0.06</v>
      </c>
      <c r="AO69" s="40">
        <v>4.4999999999999998E-2</v>
      </c>
      <c r="AP69" s="40">
        <v>3.5000000000000003E-2</v>
      </c>
      <c r="AQ69" s="27">
        <f t="shared" ref="AQ69:AR69" si="70">(15463+1757+53+1280)*1000</f>
        <v>18553000</v>
      </c>
      <c r="AR69" s="27">
        <f t="shared" si="70"/>
        <v>18553000</v>
      </c>
      <c r="AS69" s="27">
        <v>0</v>
      </c>
      <c r="AT69" s="27">
        <v>0</v>
      </c>
      <c r="AU69" s="27">
        <v>0</v>
      </c>
      <c r="AV69" s="27">
        <v>8663000</v>
      </c>
      <c r="AW69" s="27">
        <v>5468000</v>
      </c>
      <c r="AX69" s="27">
        <f t="shared" si="59"/>
        <v>14131000</v>
      </c>
      <c r="AY69" s="27">
        <v>8970000</v>
      </c>
      <c r="AZ69" s="27">
        <v>165287000</v>
      </c>
      <c r="BA69" s="27">
        <v>1867000</v>
      </c>
      <c r="BB69" s="27">
        <v>8663000</v>
      </c>
      <c r="BC69" s="27">
        <v>-775000</v>
      </c>
      <c r="BD69" s="27">
        <f t="shared" si="60"/>
        <v>184012000</v>
      </c>
      <c r="BE69" s="29">
        <f t="shared" si="38"/>
        <v>2.071926088311201E-2</v>
      </c>
      <c r="BF69" s="29">
        <f t="shared" si="39"/>
        <v>2.4977286948037487E-2</v>
      </c>
      <c r="BG69" s="29">
        <f t="shared" si="40"/>
        <v>1.0957119740196795</v>
      </c>
      <c r="BH69" s="42">
        <f>VLOOKUP(B69,Unemployment!$A$2:$F$193,6,0)</f>
        <v>-1.1999999999999993</v>
      </c>
      <c r="BI69" s="29">
        <f>VLOOKUP(B69,Zillow!$C$11:$R$193,16,0)</f>
        <v>-1.5756630265210295E-2</v>
      </c>
      <c r="BJ69" s="5"/>
      <c r="BK69" s="6">
        <v>10</v>
      </c>
      <c r="BL69" s="6">
        <v>40</v>
      </c>
      <c r="BM69" s="6">
        <v>30</v>
      </c>
      <c r="BN69" s="6">
        <v>10</v>
      </c>
      <c r="BO69" s="6">
        <v>10</v>
      </c>
      <c r="BP69" s="5"/>
      <c r="BQ69" s="43">
        <v>0.2</v>
      </c>
      <c r="BR69" s="43">
        <v>0.02</v>
      </c>
      <c r="BS69" s="43">
        <v>2.2000000000000002</v>
      </c>
      <c r="BT69" s="44">
        <v>0.02</v>
      </c>
      <c r="BU69" s="43">
        <v>-7.0000000000000007E-2</v>
      </c>
      <c r="BV69" s="5"/>
      <c r="BW69" s="43">
        <v>0.05</v>
      </c>
      <c r="BX69" s="43">
        <v>0.32</v>
      </c>
      <c r="BY69" s="43">
        <v>0.4</v>
      </c>
      <c r="BZ69" s="44">
        <v>0</v>
      </c>
      <c r="CA69" s="43">
        <v>0.03</v>
      </c>
      <c r="CB69" s="5"/>
      <c r="CC69" s="45">
        <f t="shared" si="41"/>
        <v>-1.5000000000000003E-2</v>
      </c>
      <c r="CD69" s="45">
        <f t="shared" si="42"/>
        <v>7.4999999999999997E-3</v>
      </c>
      <c r="CE69" s="45">
        <f t="shared" si="43"/>
        <v>-6.0000000000000012E-2</v>
      </c>
      <c r="CF69" s="46">
        <f t="shared" si="44"/>
        <v>-2E-3</v>
      </c>
      <c r="CG69" s="45">
        <f t="shared" si="45"/>
        <v>0.01</v>
      </c>
      <c r="CH69" s="5"/>
      <c r="CI69" s="44">
        <f t="shared" si="46"/>
        <v>10</v>
      </c>
      <c r="CJ69" s="44">
        <f t="shared" si="47"/>
        <v>0.66363825973833157</v>
      </c>
      <c r="CK69" s="44">
        <f t="shared" si="48"/>
        <v>18.404800433005342</v>
      </c>
      <c r="CL69" s="44">
        <f t="shared" si="49"/>
        <v>10</v>
      </c>
      <c r="CM69" s="44">
        <f t="shared" si="50"/>
        <v>5.4243369734789715</v>
      </c>
      <c r="CN69" s="47">
        <f t="shared" si="51"/>
        <v>0</v>
      </c>
      <c r="CO69" s="5"/>
      <c r="CP69" s="47">
        <f t="shared" si="52"/>
        <v>2.8219260883112014E-2</v>
      </c>
      <c r="CQ69" s="47">
        <f t="shared" si="53"/>
        <v>7.1022713051962505E-2</v>
      </c>
      <c r="CR69" s="47">
        <f t="shared" si="54"/>
        <v>1.8157119740196797</v>
      </c>
      <c r="CS69" s="47">
        <f t="shared" si="55"/>
        <v>1.1999999999999993</v>
      </c>
      <c r="CT69" s="47">
        <f t="shared" si="56"/>
        <v>1.8756630265210295E-2</v>
      </c>
      <c r="CU69" s="47">
        <f t="shared" si="57"/>
        <v>3.1337105782199641</v>
      </c>
    </row>
    <row r="70" spans="1:99" ht="15" customHeight="1">
      <c r="A70" s="5"/>
      <c r="B70" s="37" t="s">
        <v>126</v>
      </c>
      <c r="C70" s="37" t="s">
        <v>252</v>
      </c>
      <c r="D70" s="37" t="s">
        <v>255</v>
      </c>
      <c r="E70" s="26">
        <v>42551</v>
      </c>
      <c r="F70" s="38">
        <f t="shared" si="37"/>
        <v>78.415064624835139</v>
      </c>
      <c r="G70" s="4">
        <v>2514600</v>
      </c>
      <c r="H70" s="4">
        <v>279666</v>
      </c>
      <c r="I70" s="4">
        <v>10518546</v>
      </c>
      <c r="J70" s="4">
        <v>9728035</v>
      </c>
      <c r="K70" s="4">
        <v>2269764</v>
      </c>
      <c r="L70" s="4">
        <v>5398733</v>
      </c>
      <c r="M70" s="4">
        <v>80775</v>
      </c>
      <c r="N70" s="4">
        <v>110326</v>
      </c>
      <c r="O70" s="4">
        <v>2012770</v>
      </c>
      <c r="P70" s="4">
        <f>L70+M70+N70+O70</f>
        <v>7602604</v>
      </c>
      <c r="Q70" s="4">
        <v>7564916</v>
      </c>
      <c r="R70" s="4">
        <f>P70-Q70</f>
        <v>37688</v>
      </c>
      <c r="S70" s="27">
        <v>7258256</v>
      </c>
      <c r="T70" s="27">
        <v>7075983</v>
      </c>
      <c r="U70" s="27">
        <v>7452412</v>
      </c>
      <c r="V70" s="27">
        <v>7408130</v>
      </c>
      <c r="W70" s="27">
        <v>-97401</v>
      </c>
      <c r="X70" s="27">
        <f>95000+9907+60663</f>
        <v>165570</v>
      </c>
      <c r="Y70" s="27">
        <v>0</v>
      </c>
      <c r="Z70" s="27">
        <v>0</v>
      </c>
      <c r="AA70" s="27">
        <f>666508-X70</f>
        <v>500938</v>
      </c>
      <c r="AB70" s="27">
        <f>X70+AA70</f>
        <v>666508</v>
      </c>
      <c r="AC70" s="27"/>
      <c r="AD70" s="27"/>
      <c r="AE70" s="27"/>
      <c r="AF70" s="27"/>
      <c r="AG70" s="27"/>
      <c r="AH70" s="27"/>
      <c r="AI70" s="27"/>
      <c r="AJ70" s="26"/>
      <c r="AK70" s="49"/>
      <c r="AL70" s="49"/>
      <c r="AM70" s="49"/>
      <c r="AN70" s="49"/>
      <c r="AO70" s="49"/>
      <c r="AP70" s="49"/>
      <c r="AQ70" s="27">
        <v>0</v>
      </c>
      <c r="AR70" s="27">
        <v>0</v>
      </c>
      <c r="AS70" s="27">
        <v>0</v>
      </c>
      <c r="AT70" s="27">
        <v>0</v>
      </c>
      <c r="AU70" s="27">
        <v>0</v>
      </c>
      <c r="AV70" s="27">
        <v>530127</v>
      </c>
      <c r="AW70" s="27">
        <v>715112</v>
      </c>
      <c r="AX70" s="27">
        <f t="shared" si="59"/>
        <v>1245239</v>
      </c>
      <c r="AY70" s="27">
        <v>0</v>
      </c>
      <c r="AZ70" s="27">
        <f>2183+0+7479+2360+0+10292+22403+9750+15114</f>
        <v>69581</v>
      </c>
      <c r="BA70" s="27">
        <f>680384+1959+29473+524+9751+7162+13189+3804</f>
        <v>746246</v>
      </c>
      <c r="BB70" s="27">
        <v>530127</v>
      </c>
      <c r="BC70" s="27">
        <v>668505</v>
      </c>
      <c r="BD70" s="27">
        <f t="shared" si="60"/>
        <v>2014459</v>
      </c>
      <c r="BE70" s="29">
        <f t="shared" si="38"/>
        <v>0</v>
      </c>
      <c r="BF70" s="29">
        <f t="shared" si="39"/>
        <v>0.17598106157123328</v>
      </c>
      <c r="BG70" s="29">
        <f t="shared" si="40"/>
        <v>8.7668383096107597E-2</v>
      </c>
      <c r="BH70" s="42">
        <f>VLOOKUP(B70,Unemployment!$A$2:$F$193,6,0)</f>
        <v>-0.70000000000000018</v>
      </c>
      <c r="BI70" s="29">
        <f>VLOOKUP(B70,Zillow!$C$11:$R$193,16,0)</f>
        <v>6.1758974867068819E-3</v>
      </c>
      <c r="BJ70" s="5"/>
      <c r="BK70" s="6">
        <v>10</v>
      </c>
      <c r="BL70" s="6">
        <v>40</v>
      </c>
      <c r="BM70" s="6">
        <v>30</v>
      </c>
      <c r="BN70" s="6">
        <v>10</v>
      </c>
      <c r="BO70" s="6">
        <v>10</v>
      </c>
      <c r="BP70" s="5"/>
      <c r="BQ70" s="43">
        <v>0.2</v>
      </c>
      <c r="BR70" s="43">
        <v>0.02</v>
      </c>
      <c r="BS70" s="43">
        <v>2.2000000000000002</v>
      </c>
      <c r="BT70" s="44">
        <v>0.02</v>
      </c>
      <c r="BU70" s="43">
        <v>-7.0000000000000007E-2</v>
      </c>
      <c r="BV70" s="5"/>
      <c r="BW70" s="43">
        <v>0.05</v>
      </c>
      <c r="BX70" s="43">
        <v>0.32</v>
      </c>
      <c r="BY70" s="43">
        <v>0.4</v>
      </c>
      <c r="BZ70" s="44">
        <v>0</v>
      </c>
      <c r="CA70" s="43">
        <v>0.03</v>
      </c>
      <c r="CB70" s="5"/>
      <c r="CC70" s="45">
        <f t="shared" si="41"/>
        <v>-1.5000000000000003E-2</v>
      </c>
      <c r="CD70" s="45">
        <f t="shared" si="42"/>
        <v>7.4999999999999997E-3</v>
      </c>
      <c r="CE70" s="45">
        <f t="shared" si="43"/>
        <v>-6.0000000000000012E-2</v>
      </c>
      <c r="CF70" s="46">
        <f t="shared" si="44"/>
        <v>-2E-3</v>
      </c>
      <c r="CG70" s="45">
        <f t="shared" si="45"/>
        <v>0.01</v>
      </c>
      <c r="CH70" s="5"/>
      <c r="CI70" s="44">
        <f t="shared" si="46"/>
        <v>10</v>
      </c>
      <c r="CJ70" s="44">
        <f t="shared" si="47"/>
        <v>20.79747487616444</v>
      </c>
      <c r="CK70" s="44">
        <f t="shared" si="48"/>
        <v>30</v>
      </c>
      <c r="CL70" s="44">
        <f t="shared" si="49"/>
        <v>10</v>
      </c>
      <c r="CM70" s="44">
        <f t="shared" si="50"/>
        <v>7.6175897486706887</v>
      </c>
      <c r="CN70" s="47">
        <f t="shared" si="51"/>
        <v>0</v>
      </c>
      <c r="CO70" s="5"/>
      <c r="CP70" s="47">
        <f t="shared" si="52"/>
        <v>7.5000000000000023E-3</v>
      </c>
      <c r="CQ70" s="47">
        <f t="shared" si="53"/>
        <v>7.9981061571233289E-2</v>
      </c>
      <c r="CR70" s="47">
        <f t="shared" si="54"/>
        <v>0.80766838309610778</v>
      </c>
      <c r="CS70" s="47">
        <f t="shared" si="55"/>
        <v>0.70000000000000018</v>
      </c>
      <c r="CT70" s="47">
        <f t="shared" si="56"/>
        <v>3.1758974867068823E-3</v>
      </c>
      <c r="CU70" s="47">
        <f t="shared" si="57"/>
        <v>1.5983253421540482</v>
      </c>
    </row>
    <row r="71" spans="1:99" ht="15" customHeight="1">
      <c r="A71" s="5"/>
      <c r="B71" s="37" t="s">
        <v>122</v>
      </c>
      <c r="C71" s="37" t="s">
        <v>252</v>
      </c>
      <c r="D71" s="37" t="s">
        <v>255</v>
      </c>
      <c r="E71" s="26">
        <v>42551</v>
      </c>
      <c r="F71" s="38">
        <f t="shared" ref="F71:F102" si="71">SUM(CI71:CN71)</f>
        <v>77.644262257833617</v>
      </c>
      <c r="G71" s="4">
        <v>5797741</v>
      </c>
      <c r="H71" s="4">
        <v>328738</v>
      </c>
      <c r="I71" s="4">
        <v>23484762</v>
      </c>
      <c r="J71" s="4">
        <v>22901744</v>
      </c>
      <c r="K71" s="4">
        <v>4902160</v>
      </c>
      <c r="L71" s="4">
        <v>15104236</v>
      </c>
      <c r="M71" s="4">
        <v>106154</v>
      </c>
      <c r="N71" s="4">
        <v>305235</v>
      </c>
      <c r="O71" s="4">
        <v>2993160</v>
      </c>
      <c r="P71" s="4">
        <f>SUM(L71:O71)</f>
        <v>18508785</v>
      </c>
      <c r="Q71" s="4">
        <v>18713079</v>
      </c>
      <c r="R71" s="4">
        <v>-204294</v>
      </c>
      <c r="S71" s="27">
        <v>18192161</v>
      </c>
      <c r="T71" s="27">
        <v>17472439</v>
      </c>
      <c r="U71" s="27">
        <v>18820518</v>
      </c>
      <c r="V71" s="27">
        <v>18777062</v>
      </c>
      <c r="W71" s="27">
        <v>-251015</v>
      </c>
      <c r="X71" s="27">
        <v>28596</v>
      </c>
      <c r="Y71" s="27">
        <v>191919</v>
      </c>
      <c r="Z71" s="27">
        <v>0</v>
      </c>
      <c r="AA71" s="27">
        <f>254280-Y71-X71</f>
        <v>33765</v>
      </c>
      <c r="AB71" s="27">
        <f>X71+Y71+Z71+AA71</f>
        <v>254280</v>
      </c>
      <c r="AC71" s="27"/>
      <c r="AD71" s="27"/>
      <c r="AE71" s="27"/>
      <c r="AF71" s="27"/>
      <c r="AG71" s="27"/>
      <c r="AH71" s="27"/>
      <c r="AI71" s="27"/>
      <c r="AJ71" s="26"/>
      <c r="AK71" s="39"/>
      <c r="AL71" s="39"/>
      <c r="AM71" s="39"/>
      <c r="AN71" s="40"/>
      <c r="AO71" s="40"/>
      <c r="AP71" s="39"/>
      <c r="AQ71" s="27">
        <v>106829</v>
      </c>
      <c r="AR71" s="27">
        <v>200000</v>
      </c>
      <c r="AS71" s="27">
        <v>0</v>
      </c>
      <c r="AT71" s="27">
        <v>0</v>
      </c>
      <c r="AU71" s="27">
        <v>0</v>
      </c>
      <c r="AV71" s="27">
        <v>0</v>
      </c>
      <c r="AW71" s="27">
        <v>2661611</v>
      </c>
      <c r="AX71" s="27">
        <f t="shared" si="59"/>
        <v>2661611</v>
      </c>
      <c r="AY71" s="27">
        <v>0</v>
      </c>
      <c r="AZ71" s="27">
        <v>306652</v>
      </c>
      <c r="BA71" s="27">
        <v>1805187</v>
      </c>
      <c r="BB71" s="27">
        <v>0</v>
      </c>
      <c r="BC71" s="27">
        <v>2912626</v>
      </c>
      <c r="BD71" s="27">
        <f t="shared" si="60"/>
        <v>5024465</v>
      </c>
      <c r="BE71" s="29">
        <f t="shared" ref="BE71:BE102" si="72">AQ71/P71</f>
        <v>5.7717997156485424E-3</v>
      </c>
      <c r="BF71" s="29">
        <f t="shared" ref="BF71:BF102" si="73">AX71/T71</f>
        <v>0.15233196693375206</v>
      </c>
      <c r="BG71" s="29">
        <f t="shared" ref="BG71:BG102" si="74">(AB71-Y71)/P71</f>
        <v>3.3692649193342514E-3</v>
      </c>
      <c r="BH71" s="42">
        <f>VLOOKUP(B71,Unemployment!$A$2:$F$193,6,0)</f>
        <v>-0.20000000000000018</v>
      </c>
      <c r="BI71" s="29">
        <f>VLOOKUP(B71,Zillow!$C$11:$R$193,16,0)</f>
        <v>3.320347403409709E-2</v>
      </c>
      <c r="BJ71" s="5"/>
      <c r="BK71" s="6">
        <v>10</v>
      </c>
      <c r="BL71" s="6">
        <v>40</v>
      </c>
      <c r="BM71" s="6">
        <v>30</v>
      </c>
      <c r="BN71" s="6">
        <v>10</v>
      </c>
      <c r="BO71" s="6">
        <v>10</v>
      </c>
      <c r="BP71" s="5"/>
      <c r="BQ71" s="43">
        <v>0.2</v>
      </c>
      <c r="BR71" s="43">
        <v>0.02</v>
      </c>
      <c r="BS71" s="43">
        <v>2.2000000000000002</v>
      </c>
      <c r="BT71" s="44">
        <v>0.02</v>
      </c>
      <c r="BU71" s="43">
        <v>-7.0000000000000007E-2</v>
      </c>
      <c r="BV71" s="5"/>
      <c r="BW71" s="43">
        <v>0.05</v>
      </c>
      <c r="BX71" s="43">
        <v>0.32</v>
      </c>
      <c r="BY71" s="43">
        <v>0.4</v>
      </c>
      <c r="BZ71" s="44">
        <v>0</v>
      </c>
      <c r="CA71" s="43">
        <v>0.03</v>
      </c>
      <c r="CB71" s="5"/>
      <c r="CC71" s="45">
        <f t="shared" ref="CC71:CC102" si="75">(BW71-BQ71)/BK71</f>
        <v>-1.5000000000000003E-2</v>
      </c>
      <c r="CD71" s="45">
        <f t="shared" ref="CD71:CD102" si="76">(BX71-BR71)/BL71</f>
        <v>7.4999999999999997E-3</v>
      </c>
      <c r="CE71" s="45">
        <f t="shared" ref="CE71:CE102" si="77">(BY71-BS71)/BM71</f>
        <v>-6.0000000000000012E-2</v>
      </c>
      <c r="CF71" s="46">
        <f t="shared" ref="CF71:CF102" si="78">(BZ71-BT71)/BN71</f>
        <v>-2E-3</v>
      </c>
      <c r="CG71" s="45">
        <f t="shared" ref="CG71:CG102" si="79">(CA71-BU71)/BO71</f>
        <v>0.01</v>
      </c>
      <c r="CH71" s="5"/>
      <c r="CI71" s="44">
        <f t="shared" ref="CI71:CI102" si="80">MIN(MAX(0,(BE71-BQ71)/CC71),BK71)</f>
        <v>10</v>
      </c>
      <c r="CJ71" s="44">
        <f t="shared" ref="CJ71:CJ102" si="81">MIN(MAX(0,(BF71-BR71)/CD71),BL71)</f>
        <v>17.64426225783361</v>
      </c>
      <c r="CK71" s="44">
        <f t="shared" ref="CK71:CK102" si="82">MIN(MAX(0,(BG71-BS71)/CE71),BM71)</f>
        <v>30</v>
      </c>
      <c r="CL71" s="44">
        <f t="shared" ref="CL71:CL102" si="83">MIN(MAX(0,(BH71-BT71)/CF71),BN71)</f>
        <v>10</v>
      </c>
      <c r="CM71" s="44">
        <f t="shared" ref="CM71:CM102" si="84">MIN(MAX(0,(BI71-BU71)/CG71),BO71)</f>
        <v>10</v>
      </c>
      <c r="CN71" s="47">
        <f t="shared" ref="CN71:CN102" si="85">IF(SUM(CI71:CM71)=100,CU71*0.00001,0)</f>
        <v>0</v>
      </c>
      <c r="CO71" s="5"/>
      <c r="CP71" s="47">
        <f t="shared" ref="CP71:CP102" si="86">ABS(BE71-BW71*CC71*BK71)</f>
        <v>1.3271799715648545E-2</v>
      </c>
      <c r="CQ71" s="47">
        <f t="shared" ref="CQ71:CQ102" si="87">ABS(BF71-BX71*CD71*BL71)</f>
        <v>5.6331966933752073E-2</v>
      </c>
      <c r="CR71" s="47">
        <f t="shared" ref="CR71:CR102" si="88">ABS(BG71-BY71*CE71*BM71)</f>
        <v>0.7233692649193344</v>
      </c>
      <c r="CS71" s="47">
        <f t="shared" ref="CS71:CS102" si="89">ABS(BH71-BZ71*CF71*BN71)</f>
        <v>0.20000000000000018</v>
      </c>
      <c r="CT71" s="47">
        <f t="shared" ref="CT71:CT102" si="90">ABS(BI71-CA71*CG71*BO71)</f>
        <v>3.0203474034097091E-2</v>
      </c>
      <c r="CU71" s="47">
        <f t="shared" ref="CU71:CU102" si="91">SUM(CP71:CT71)</f>
        <v>1.0231765056028324</v>
      </c>
    </row>
    <row r="72" spans="1:99" ht="15" customHeight="1">
      <c r="A72" s="5"/>
      <c r="B72" s="37" t="s">
        <v>132</v>
      </c>
      <c r="C72" s="37" t="s">
        <v>252</v>
      </c>
      <c r="D72" s="37" t="s">
        <v>255</v>
      </c>
      <c r="E72" s="50" t="s">
        <v>263</v>
      </c>
      <c r="F72" s="38">
        <f t="shared" si="71"/>
        <v>79.242726575320134</v>
      </c>
      <c r="G72" s="4">
        <f>64901156-42134631-10978300</f>
        <v>11788225</v>
      </c>
      <c r="H72" s="4">
        <f>7769757-6173804-1009571</f>
        <v>586382</v>
      </c>
      <c r="I72" s="4">
        <v>64901156</v>
      </c>
      <c r="J72" s="4">
        <v>57195808</v>
      </c>
      <c r="K72" s="4">
        <v>9505490</v>
      </c>
      <c r="L72" s="4">
        <v>28729321</v>
      </c>
      <c r="M72" s="4">
        <v>702373</v>
      </c>
      <c r="N72" s="4">
        <v>2214462</v>
      </c>
      <c r="O72" s="4">
        <v>9229128</v>
      </c>
      <c r="P72" s="4">
        <f t="shared" ref="P72:P79" si="92">L72+M72+N72+O72</f>
        <v>40875284</v>
      </c>
      <c r="Q72" s="4">
        <v>40016320</v>
      </c>
      <c r="R72" s="4">
        <v>858964</v>
      </c>
      <c r="S72" s="27">
        <v>38063202</v>
      </c>
      <c r="T72" s="27">
        <v>36813102</v>
      </c>
      <c r="U72" s="27">
        <v>40520775</v>
      </c>
      <c r="V72" s="27">
        <v>39948207</v>
      </c>
      <c r="W72" s="27">
        <v>687744</v>
      </c>
      <c r="X72" s="27">
        <v>1009571</v>
      </c>
      <c r="Y72" s="27">
        <v>0</v>
      </c>
      <c r="Z72" s="27">
        <v>907000</v>
      </c>
      <c r="AA72" s="27">
        <f>7183375-SUM(X72:Z72)</f>
        <v>5266804</v>
      </c>
      <c r="AB72" s="27">
        <f>SUM(X72:AA72)</f>
        <v>7183375</v>
      </c>
      <c r="AC72" s="27">
        <v>907000</v>
      </c>
      <c r="AD72" s="27">
        <v>0</v>
      </c>
      <c r="AE72" s="27">
        <f>AC72+AD72</f>
        <v>907000</v>
      </c>
      <c r="AF72" s="27">
        <v>0</v>
      </c>
      <c r="AG72" s="27">
        <v>162000</v>
      </c>
      <c r="AH72" s="27">
        <v>149000</v>
      </c>
      <c r="AI72" s="27">
        <v>94000</v>
      </c>
      <c r="AJ72" s="26">
        <v>41821</v>
      </c>
      <c r="AK72" s="39">
        <v>0</v>
      </c>
      <c r="AL72" s="39">
        <v>1586000</v>
      </c>
      <c r="AM72" s="39">
        <v>1586000</v>
      </c>
      <c r="AN72" s="40">
        <f>AK72/AL72</f>
        <v>0</v>
      </c>
      <c r="AO72" s="40">
        <v>0.04</v>
      </c>
      <c r="AP72" s="40">
        <v>0.03</v>
      </c>
      <c r="AQ72" s="27"/>
      <c r="AR72" s="27"/>
      <c r="AS72" s="27">
        <v>0</v>
      </c>
      <c r="AT72" s="27">
        <v>0</v>
      </c>
      <c r="AU72" s="27">
        <v>0</v>
      </c>
      <c r="AV72" s="27">
        <v>372486</v>
      </c>
      <c r="AW72" s="27">
        <v>6650032</v>
      </c>
      <c r="AX72" s="27">
        <f t="shared" ref="AX72:AX103" si="93">AS72+AT72+AU72+AV72+AW72</f>
        <v>7022518</v>
      </c>
      <c r="AY72" s="27">
        <v>162006</v>
      </c>
      <c r="AZ72" s="27">
        <v>105119</v>
      </c>
      <c r="BA72" s="27">
        <v>2057931</v>
      </c>
      <c r="BB72" s="27">
        <v>372486</v>
      </c>
      <c r="BC72" s="27">
        <v>6650032</v>
      </c>
      <c r="BD72" s="27">
        <f t="shared" si="60"/>
        <v>9347574</v>
      </c>
      <c r="BE72" s="29">
        <f t="shared" si="72"/>
        <v>0</v>
      </c>
      <c r="BF72" s="29">
        <f t="shared" si="73"/>
        <v>0.19076137620785122</v>
      </c>
      <c r="BG72" s="29">
        <f t="shared" si="74"/>
        <v>0.17573884012646859</v>
      </c>
      <c r="BH72" s="42">
        <f>VLOOKUP(B72,Unemployment!$A$2:$F$193,6,0)</f>
        <v>-0.5</v>
      </c>
      <c r="BI72" s="29">
        <f>VLOOKUP(B72,Zillow!$C$11:$R$193,16,0)</f>
        <v>-5.2545691906003703E-3</v>
      </c>
      <c r="BJ72" s="5"/>
      <c r="BK72" s="6">
        <v>10</v>
      </c>
      <c r="BL72" s="6">
        <v>40</v>
      </c>
      <c r="BM72" s="6">
        <v>30</v>
      </c>
      <c r="BN72" s="6">
        <v>10</v>
      </c>
      <c r="BO72" s="6">
        <v>10</v>
      </c>
      <c r="BP72" s="5"/>
      <c r="BQ72" s="43">
        <v>0.2</v>
      </c>
      <c r="BR72" s="43">
        <v>0.02</v>
      </c>
      <c r="BS72" s="43">
        <v>2.2000000000000002</v>
      </c>
      <c r="BT72" s="44">
        <v>0.02</v>
      </c>
      <c r="BU72" s="43">
        <v>-7.0000000000000007E-2</v>
      </c>
      <c r="BV72" s="5"/>
      <c r="BW72" s="43">
        <v>0.05</v>
      </c>
      <c r="BX72" s="43">
        <v>0.32</v>
      </c>
      <c r="BY72" s="43">
        <v>0.4</v>
      </c>
      <c r="BZ72" s="44">
        <v>0</v>
      </c>
      <c r="CA72" s="43">
        <v>0.03</v>
      </c>
      <c r="CB72" s="5"/>
      <c r="CC72" s="45">
        <f t="shared" si="75"/>
        <v>-1.5000000000000003E-2</v>
      </c>
      <c r="CD72" s="45">
        <f t="shared" si="76"/>
        <v>7.4999999999999997E-3</v>
      </c>
      <c r="CE72" s="45">
        <f t="shared" si="77"/>
        <v>-6.0000000000000012E-2</v>
      </c>
      <c r="CF72" s="46">
        <f t="shared" si="78"/>
        <v>-2E-3</v>
      </c>
      <c r="CG72" s="45">
        <f t="shared" si="79"/>
        <v>0.01</v>
      </c>
      <c r="CH72" s="5"/>
      <c r="CI72" s="44">
        <f t="shared" si="80"/>
        <v>10</v>
      </c>
      <c r="CJ72" s="44">
        <f t="shared" si="81"/>
        <v>22.768183494380164</v>
      </c>
      <c r="CK72" s="44">
        <f t="shared" si="82"/>
        <v>30</v>
      </c>
      <c r="CL72" s="44">
        <f t="shared" si="83"/>
        <v>10</v>
      </c>
      <c r="CM72" s="44">
        <f t="shared" si="84"/>
        <v>6.4745430809399638</v>
      </c>
      <c r="CN72" s="47">
        <f t="shared" si="85"/>
        <v>0</v>
      </c>
      <c r="CO72" s="5"/>
      <c r="CP72" s="47">
        <f t="shared" si="86"/>
        <v>7.5000000000000023E-3</v>
      </c>
      <c r="CQ72" s="47">
        <f t="shared" si="87"/>
        <v>9.4761376207851231E-2</v>
      </c>
      <c r="CR72" s="47">
        <f t="shared" si="88"/>
        <v>0.89573884012646876</v>
      </c>
      <c r="CS72" s="47">
        <f t="shared" si="89"/>
        <v>0.5</v>
      </c>
      <c r="CT72" s="47">
        <f t="shared" si="90"/>
        <v>8.2545691906003704E-3</v>
      </c>
      <c r="CU72" s="47">
        <f t="shared" si="91"/>
        <v>1.5062547855249204</v>
      </c>
    </row>
    <row r="73" spans="1:99" ht="15" customHeight="1">
      <c r="A73" s="5"/>
      <c r="B73" s="37" t="s">
        <v>140</v>
      </c>
      <c r="C73" s="37" t="s">
        <v>252</v>
      </c>
      <c r="D73" s="37" t="s">
        <v>255</v>
      </c>
      <c r="E73" s="50" t="s">
        <v>263</v>
      </c>
      <c r="F73" s="38">
        <f t="shared" si="71"/>
        <v>81.546807989523487</v>
      </c>
      <c r="G73" s="4">
        <f t="shared" ref="G73:G75" si="94">23126959-15396694-1564406</f>
        <v>6165859</v>
      </c>
      <c r="H73" s="4">
        <f t="shared" ref="H73:H75" si="95">4523627-3648429-600568</f>
        <v>274630</v>
      </c>
      <c r="I73" s="4">
        <v>23126959</v>
      </c>
      <c r="J73" s="4">
        <v>18672587</v>
      </c>
      <c r="K73" s="4">
        <v>5590660</v>
      </c>
      <c r="L73" s="4">
        <v>10834586</v>
      </c>
      <c r="M73" s="4">
        <v>365287</v>
      </c>
      <c r="N73" s="4">
        <v>889185</v>
      </c>
      <c r="O73" s="4">
        <v>895153</v>
      </c>
      <c r="P73" s="4">
        <f t="shared" si="92"/>
        <v>12984211</v>
      </c>
      <c r="Q73" s="4">
        <v>11886349</v>
      </c>
      <c r="R73" s="4">
        <v>1097862</v>
      </c>
      <c r="S73" s="27">
        <v>12019962</v>
      </c>
      <c r="T73" s="27">
        <v>11137058</v>
      </c>
      <c r="U73" s="27">
        <v>12603536</v>
      </c>
      <c r="V73" s="27">
        <v>12214926</v>
      </c>
      <c r="W73" s="27">
        <v>-695973</v>
      </c>
      <c r="X73" s="27">
        <f t="shared" ref="X73:X75" si="96">591178+9390</f>
        <v>600568</v>
      </c>
      <c r="Y73" s="27">
        <v>0</v>
      </c>
      <c r="Z73" s="27">
        <v>0</v>
      </c>
      <c r="AA73" s="27">
        <f>AB73-SUM(X73:Z73)</f>
        <v>3429895</v>
      </c>
      <c r="AB73" s="27">
        <f>3465579+564884</f>
        <v>4030463</v>
      </c>
      <c r="AC73" s="27"/>
      <c r="AD73" s="27"/>
      <c r="AE73" s="27"/>
      <c r="AF73" s="27"/>
      <c r="AG73" s="27"/>
      <c r="AH73" s="27"/>
      <c r="AI73" s="27"/>
      <c r="AJ73" s="26"/>
      <c r="AK73" s="39"/>
      <c r="AL73" s="39"/>
      <c r="AM73" s="39"/>
      <c r="AN73" s="40"/>
      <c r="AO73" s="40"/>
      <c r="AP73" s="40"/>
      <c r="AQ73" s="27"/>
      <c r="AR73" s="27"/>
      <c r="AS73" s="27">
        <v>13115</v>
      </c>
      <c r="AT73" s="27">
        <v>0</v>
      </c>
      <c r="AU73" s="27">
        <v>288428</v>
      </c>
      <c r="AV73" s="27">
        <v>0</v>
      </c>
      <c r="AW73" s="27">
        <v>2038661</v>
      </c>
      <c r="AX73" s="27">
        <f t="shared" si="93"/>
        <v>2340204</v>
      </c>
      <c r="AY73" s="27">
        <v>70965</v>
      </c>
      <c r="AZ73" s="27">
        <v>2196504</v>
      </c>
      <c r="BA73" s="27">
        <v>403135</v>
      </c>
      <c r="BB73" s="27">
        <v>0</v>
      </c>
      <c r="BC73" s="27">
        <v>2038661</v>
      </c>
      <c r="BD73" s="27">
        <f t="shared" si="60"/>
        <v>4709265</v>
      </c>
      <c r="BE73" s="29">
        <f t="shared" si="72"/>
        <v>0</v>
      </c>
      <c r="BF73" s="29">
        <f t="shared" si="73"/>
        <v>0.2101276656725681</v>
      </c>
      <c r="BG73" s="29">
        <f t="shared" si="74"/>
        <v>0.31041262345474824</v>
      </c>
      <c r="BH73" s="42">
        <f>VLOOKUP(B73,Unemployment!$A$2:$F$193,6,0)</f>
        <v>-0.30000000000000027</v>
      </c>
      <c r="BI73" s="29">
        <f>VLOOKUP(B73,Zillow!$C$11:$R$193,16,0)</f>
        <v>-8.0354743348560968E-3</v>
      </c>
      <c r="BJ73" s="5"/>
      <c r="BK73" s="6">
        <v>10</v>
      </c>
      <c r="BL73" s="6">
        <v>40</v>
      </c>
      <c r="BM73" s="6">
        <v>30</v>
      </c>
      <c r="BN73" s="6">
        <v>10</v>
      </c>
      <c r="BO73" s="6">
        <v>10</v>
      </c>
      <c r="BP73" s="5"/>
      <c r="BQ73" s="43">
        <v>0.2</v>
      </c>
      <c r="BR73" s="43">
        <v>0.02</v>
      </c>
      <c r="BS73" s="43">
        <v>2.2000000000000002</v>
      </c>
      <c r="BT73" s="44">
        <v>0.02</v>
      </c>
      <c r="BU73" s="43">
        <v>-7.0000000000000007E-2</v>
      </c>
      <c r="BV73" s="5"/>
      <c r="BW73" s="43">
        <v>0.05</v>
      </c>
      <c r="BX73" s="43">
        <v>0.32</v>
      </c>
      <c r="BY73" s="43">
        <v>0.4</v>
      </c>
      <c r="BZ73" s="44">
        <v>0</v>
      </c>
      <c r="CA73" s="43">
        <v>0.03</v>
      </c>
      <c r="CB73" s="5"/>
      <c r="CC73" s="45">
        <f t="shared" si="75"/>
        <v>-1.5000000000000003E-2</v>
      </c>
      <c r="CD73" s="45">
        <f t="shared" si="76"/>
        <v>7.4999999999999997E-3</v>
      </c>
      <c r="CE73" s="45">
        <f t="shared" si="77"/>
        <v>-6.0000000000000012E-2</v>
      </c>
      <c r="CF73" s="46">
        <f t="shared" si="78"/>
        <v>-2E-3</v>
      </c>
      <c r="CG73" s="45">
        <f t="shared" si="79"/>
        <v>0.01</v>
      </c>
      <c r="CH73" s="5"/>
      <c r="CI73" s="44">
        <f t="shared" si="80"/>
        <v>10</v>
      </c>
      <c r="CJ73" s="44">
        <f t="shared" si="81"/>
        <v>25.350355423009084</v>
      </c>
      <c r="CK73" s="44">
        <f t="shared" si="82"/>
        <v>30</v>
      </c>
      <c r="CL73" s="44">
        <f t="shared" si="83"/>
        <v>10</v>
      </c>
      <c r="CM73" s="44">
        <f t="shared" si="84"/>
        <v>6.1964525665143908</v>
      </c>
      <c r="CN73" s="47">
        <f t="shared" si="85"/>
        <v>0</v>
      </c>
      <c r="CO73" s="5"/>
      <c r="CP73" s="47">
        <f t="shared" si="86"/>
        <v>7.5000000000000023E-3</v>
      </c>
      <c r="CQ73" s="47">
        <f t="shared" si="87"/>
        <v>0.11412766567256812</v>
      </c>
      <c r="CR73" s="47">
        <f t="shared" si="88"/>
        <v>1.0304126234547484</v>
      </c>
      <c r="CS73" s="47">
        <f t="shared" si="89"/>
        <v>0.30000000000000027</v>
      </c>
      <c r="CT73" s="47">
        <f t="shared" si="90"/>
        <v>1.1035474334856096E-2</v>
      </c>
      <c r="CU73" s="47">
        <f t="shared" si="91"/>
        <v>1.4630757634621729</v>
      </c>
    </row>
    <row r="74" spans="1:99" ht="15" customHeight="1">
      <c r="A74" s="5"/>
      <c r="B74" s="37" t="s">
        <v>139</v>
      </c>
      <c r="C74" s="37" t="s">
        <v>252</v>
      </c>
      <c r="D74" s="37" t="s">
        <v>255</v>
      </c>
      <c r="E74" s="26">
        <v>42551</v>
      </c>
      <c r="F74" s="38">
        <f t="shared" si="71"/>
        <v>81.016481076824761</v>
      </c>
      <c r="G74" s="4">
        <f>164824338-121204179-13007205</f>
        <v>30612954</v>
      </c>
      <c r="H74" s="4">
        <f>45615142-38393884-2708280</f>
        <v>4512978</v>
      </c>
      <c r="I74" s="4">
        <v>164824338</v>
      </c>
      <c r="J74" s="4">
        <v>120544150</v>
      </c>
      <c r="K74" s="4">
        <v>19965750</v>
      </c>
      <c r="L74" s="4">
        <v>34202134</v>
      </c>
      <c r="M74" s="4">
        <v>2680502</v>
      </c>
      <c r="N74" s="4">
        <v>10436119</v>
      </c>
      <c r="O74" s="4">
        <v>27012473</v>
      </c>
      <c r="P74" s="4">
        <f t="shared" si="92"/>
        <v>74331228</v>
      </c>
      <c r="Q74" s="4">
        <v>70272473</v>
      </c>
      <c r="R74" s="4">
        <f t="shared" ref="R74:R79" si="97">P74-Q74</f>
        <v>4058755</v>
      </c>
      <c r="S74" s="27">
        <v>59682387</v>
      </c>
      <c r="T74" s="27">
        <v>58180619</v>
      </c>
      <c r="U74" s="27">
        <v>72649954</v>
      </c>
      <c r="V74" s="27">
        <v>68886249</v>
      </c>
      <c r="W74" s="27">
        <v>1737994</v>
      </c>
      <c r="X74" s="27">
        <v>2708280</v>
      </c>
      <c r="Y74" s="27">
        <v>0</v>
      </c>
      <c r="Z74" s="27">
        <v>4277100</v>
      </c>
      <c r="AA74" s="27">
        <f>41102164-X74-Y74-Z74</f>
        <v>34116784</v>
      </c>
      <c r="AB74" s="27">
        <f t="shared" ref="AB74:AB82" si="98">X74+Y74+Z74+AA74</f>
        <v>41102164</v>
      </c>
      <c r="AC74" s="27">
        <v>4277100</v>
      </c>
      <c r="AD74" s="27">
        <v>0</v>
      </c>
      <c r="AE74" s="27">
        <f>AC74+AD74</f>
        <v>4277100</v>
      </c>
      <c r="AF74" s="27">
        <v>0</v>
      </c>
      <c r="AG74" s="27">
        <v>824500</v>
      </c>
      <c r="AH74" s="27">
        <v>758000</v>
      </c>
      <c r="AI74" s="27">
        <v>545800</v>
      </c>
      <c r="AJ74" s="26">
        <v>42186</v>
      </c>
      <c r="AK74" s="39">
        <v>0</v>
      </c>
      <c r="AL74" s="39">
        <v>6913000</v>
      </c>
      <c r="AM74" s="39">
        <f>AL74-AK74</f>
        <v>6913000</v>
      </c>
      <c r="AN74" s="40">
        <f>AK74/AL74</f>
        <v>0</v>
      </c>
      <c r="AO74" s="40">
        <v>3.7999999999999999E-2</v>
      </c>
      <c r="AP74" s="40">
        <v>0.03</v>
      </c>
      <c r="AQ74" s="27">
        <v>122206</v>
      </c>
      <c r="AR74" s="27">
        <v>122207</v>
      </c>
      <c r="AS74" s="27">
        <v>0</v>
      </c>
      <c r="AT74" s="27">
        <v>0</v>
      </c>
      <c r="AU74" s="27">
        <f>223263+18389</f>
        <v>241652</v>
      </c>
      <c r="AV74" s="27">
        <f t="shared" ref="AV74:BB74" si="99">177443+698223+128076+87018+196648+38793+119</f>
        <v>1326320</v>
      </c>
      <c r="AW74" s="27">
        <v>9958897</v>
      </c>
      <c r="AX74" s="27">
        <f t="shared" si="93"/>
        <v>11526869</v>
      </c>
      <c r="AY74" s="27">
        <f>32320+119642</f>
        <v>151962</v>
      </c>
      <c r="AZ74" s="27">
        <f>105382+554935</f>
        <v>660317</v>
      </c>
      <c r="BA74" s="27">
        <f>255591+13333+106049+66204+493156+5957840+3028930</f>
        <v>9921103</v>
      </c>
      <c r="BB74" s="27">
        <f t="shared" si="99"/>
        <v>1326320</v>
      </c>
      <c r="BC74" s="27">
        <v>9902197</v>
      </c>
      <c r="BD74" s="27">
        <f t="shared" ref="BD74:BD79" si="100">SUM(AY74:BC74)</f>
        <v>21961899</v>
      </c>
      <c r="BE74" s="29">
        <f t="shared" si="72"/>
        <v>1.644073470708704E-3</v>
      </c>
      <c r="BF74" s="29">
        <f t="shared" si="73"/>
        <v>0.19812214442063603</v>
      </c>
      <c r="BG74" s="29">
        <f t="shared" si="74"/>
        <v>0.55295957171594157</v>
      </c>
      <c r="BH74" s="42">
        <f>VLOOKUP(B74,Unemployment!$A$2:$F$193,6,0)</f>
        <v>-1</v>
      </c>
      <c r="BI74" s="29">
        <f>VLOOKUP(B74,Zillow!$C$11:$R$193,16,0)</f>
        <v>2.8161880160056611E-2</v>
      </c>
      <c r="BJ74" s="5"/>
      <c r="BK74" s="6">
        <v>10</v>
      </c>
      <c r="BL74" s="6">
        <v>40</v>
      </c>
      <c r="BM74" s="6">
        <v>30</v>
      </c>
      <c r="BN74" s="6">
        <v>10</v>
      </c>
      <c r="BO74" s="6">
        <v>10</v>
      </c>
      <c r="BP74" s="5"/>
      <c r="BQ74" s="43">
        <v>0.2</v>
      </c>
      <c r="BR74" s="43">
        <v>0.02</v>
      </c>
      <c r="BS74" s="43">
        <v>2.2000000000000002</v>
      </c>
      <c r="BT74" s="44">
        <v>0.02</v>
      </c>
      <c r="BU74" s="43">
        <v>-7.0000000000000007E-2</v>
      </c>
      <c r="BV74" s="5"/>
      <c r="BW74" s="43">
        <v>0.05</v>
      </c>
      <c r="BX74" s="43">
        <v>0.32</v>
      </c>
      <c r="BY74" s="43">
        <v>0.4</v>
      </c>
      <c r="BZ74" s="44">
        <v>0</v>
      </c>
      <c r="CA74" s="43">
        <v>0.03</v>
      </c>
      <c r="CB74" s="5"/>
      <c r="CC74" s="45">
        <f t="shared" si="75"/>
        <v>-1.5000000000000003E-2</v>
      </c>
      <c r="CD74" s="45">
        <f t="shared" si="76"/>
        <v>7.4999999999999997E-3</v>
      </c>
      <c r="CE74" s="45">
        <f t="shared" si="77"/>
        <v>-6.0000000000000012E-2</v>
      </c>
      <c r="CF74" s="46">
        <f t="shared" si="78"/>
        <v>-2E-3</v>
      </c>
      <c r="CG74" s="45">
        <f t="shared" si="79"/>
        <v>0.01</v>
      </c>
      <c r="CH74" s="5"/>
      <c r="CI74" s="44">
        <f t="shared" si="80"/>
        <v>10</v>
      </c>
      <c r="CJ74" s="44">
        <f t="shared" si="81"/>
        <v>23.749619256084806</v>
      </c>
      <c r="CK74" s="44">
        <f t="shared" si="82"/>
        <v>27.450673804734304</v>
      </c>
      <c r="CL74" s="44">
        <f t="shared" si="83"/>
        <v>10</v>
      </c>
      <c r="CM74" s="44">
        <f t="shared" si="84"/>
        <v>9.8161880160056612</v>
      </c>
      <c r="CN74" s="47">
        <f t="shared" si="85"/>
        <v>0</v>
      </c>
      <c r="CO74" s="5"/>
      <c r="CP74" s="47">
        <f t="shared" si="86"/>
        <v>9.1440734707087072E-3</v>
      </c>
      <c r="CQ74" s="47">
        <f t="shared" si="87"/>
        <v>0.10212214442063604</v>
      </c>
      <c r="CR74" s="47">
        <f t="shared" si="88"/>
        <v>1.2729595717159419</v>
      </c>
      <c r="CS74" s="47">
        <f t="shared" si="89"/>
        <v>1</v>
      </c>
      <c r="CT74" s="47">
        <f t="shared" si="90"/>
        <v>2.5161880160056611E-2</v>
      </c>
      <c r="CU74" s="47">
        <f t="shared" si="91"/>
        <v>2.4093876697673435</v>
      </c>
    </row>
    <row r="75" spans="1:99" ht="15" customHeight="1">
      <c r="A75" s="5"/>
      <c r="B75" s="37" t="s">
        <v>139</v>
      </c>
      <c r="C75" s="37" t="s">
        <v>252</v>
      </c>
      <c r="D75" s="37" t="s">
        <v>255</v>
      </c>
      <c r="E75" s="26">
        <v>42551</v>
      </c>
      <c r="F75" s="38">
        <f t="shared" si="71"/>
        <v>85.16654343901476</v>
      </c>
      <c r="G75" s="4">
        <f t="shared" si="94"/>
        <v>6165859</v>
      </c>
      <c r="H75" s="4">
        <f t="shared" si="95"/>
        <v>274630</v>
      </c>
      <c r="I75" s="4">
        <v>23126959</v>
      </c>
      <c r="J75" s="4">
        <v>18672587</v>
      </c>
      <c r="K75" s="4">
        <v>5590660</v>
      </c>
      <c r="L75" s="4">
        <v>10834586</v>
      </c>
      <c r="M75" s="4">
        <v>365287</v>
      </c>
      <c r="N75" s="4">
        <v>889185</v>
      </c>
      <c r="O75" s="4">
        <v>895153</v>
      </c>
      <c r="P75" s="4">
        <f t="shared" si="92"/>
        <v>12984211</v>
      </c>
      <c r="Q75" s="4">
        <v>11886349</v>
      </c>
      <c r="R75" s="4">
        <f t="shared" si="97"/>
        <v>1097862</v>
      </c>
      <c r="S75" s="27">
        <v>12019962</v>
      </c>
      <c r="T75" s="27">
        <v>11137058</v>
      </c>
      <c r="U75" s="27">
        <v>12603536</v>
      </c>
      <c r="V75" s="27">
        <v>12214926</v>
      </c>
      <c r="W75" s="27">
        <v>186931</v>
      </c>
      <c r="X75" s="27">
        <f t="shared" si="96"/>
        <v>600568</v>
      </c>
      <c r="Y75" s="27">
        <v>0</v>
      </c>
      <c r="Z75" s="27">
        <v>0</v>
      </c>
      <c r="AA75" s="27">
        <f>3465579+564884-X75-Y75-Z75</f>
        <v>3429895</v>
      </c>
      <c r="AB75" s="27">
        <f t="shared" si="98"/>
        <v>4030463</v>
      </c>
      <c r="AC75" s="27"/>
      <c r="AD75" s="27"/>
      <c r="AE75" s="27"/>
      <c r="AF75" s="27"/>
      <c r="AG75" s="27"/>
      <c r="AH75" s="27"/>
      <c r="AI75" s="27"/>
      <c r="AJ75" s="26"/>
      <c r="AK75" s="49"/>
      <c r="AL75" s="49"/>
      <c r="AM75" s="49"/>
      <c r="AN75" s="49"/>
      <c r="AO75" s="49"/>
      <c r="AP75" s="49"/>
      <c r="AQ75" s="27"/>
      <c r="AR75" s="27"/>
      <c r="AS75" s="27">
        <v>13115</v>
      </c>
      <c r="AT75" s="27">
        <v>0</v>
      </c>
      <c r="AU75" s="27">
        <v>288428</v>
      </c>
      <c r="AV75" s="27">
        <v>0</v>
      </c>
      <c r="AW75" s="27">
        <v>2038661</v>
      </c>
      <c r="AX75" s="27">
        <f t="shared" si="93"/>
        <v>2340204</v>
      </c>
      <c r="AY75" s="27">
        <v>70965</v>
      </c>
      <c r="AZ75" s="27">
        <v>2196504</v>
      </c>
      <c r="BA75" s="27">
        <v>403135</v>
      </c>
      <c r="BB75" s="27">
        <v>0</v>
      </c>
      <c r="BC75" s="27">
        <v>2038661</v>
      </c>
      <c r="BD75" s="27">
        <f t="shared" si="100"/>
        <v>4709265</v>
      </c>
      <c r="BE75" s="29">
        <f t="shared" si="72"/>
        <v>0</v>
      </c>
      <c r="BF75" s="29">
        <f t="shared" si="73"/>
        <v>0.2101276656725681</v>
      </c>
      <c r="BG75" s="29">
        <f t="shared" si="74"/>
        <v>0.31041262345474824</v>
      </c>
      <c r="BH75" s="42">
        <f>VLOOKUP(B75,Unemployment!$A$2:$F$193,6,0)</f>
        <v>-1</v>
      </c>
      <c r="BI75" s="29">
        <f>VLOOKUP(B75,Zillow!$C$11:$R$193,16,0)</f>
        <v>2.8161880160056611E-2</v>
      </c>
      <c r="BJ75" s="5"/>
      <c r="BK75" s="6">
        <v>10</v>
      </c>
      <c r="BL75" s="6">
        <v>40</v>
      </c>
      <c r="BM75" s="6">
        <v>30</v>
      </c>
      <c r="BN75" s="6">
        <v>10</v>
      </c>
      <c r="BO75" s="6">
        <v>10</v>
      </c>
      <c r="BP75" s="5"/>
      <c r="BQ75" s="43">
        <v>0.2</v>
      </c>
      <c r="BR75" s="43">
        <v>0.02</v>
      </c>
      <c r="BS75" s="43">
        <v>2.2000000000000002</v>
      </c>
      <c r="BT75" s="44">
        <v>0.02</v>
      </c>
      <c r="BU75" s="43">
        <v>-7.0000000000000007E-2</v>
      </c>
      <c r="BV75" s="5"/>
      <c r="BW75" s="43">
        <v>0.05</v>
      </c>
      <c r="BX75" s="43">
        <v>0.32</v>
      </c>
      <c r="BY75" s="43">
        <v>0.4</v>
      </c>
      <c r="BZ75" s="44">
        <v>0</v>
      </c>
      <c r="CA75" s="43">
        <v>0.03</v>
      </c>
      <c r="CB75" s="5"/>
      <c r="CC75" s="45">
        <f t="shared" si="75"/>
        <v>-1.5000000000000003E-2</v>
      </c>
      <c r="CD75" s="45">
        <f t="shared" si="76"/>
        <v>7.4999999999999997E-3</v>
      </c>
      <c r="CE75" s="45">
        <f t="shared" si="77"/>
        <v>-6.0000000000000012E-2</v>
      </c>
      <c r="CF75" s="46">
        <f t="shared" si="78"/>
        <v>-2E-3</v>
      </c>
      <c r="CG75" s="45">
        <f t="shared" si="79"/>
        <v>0.01</v>
      </c>
      <c r="CH75" s="5"/>
      <c r="CI75" s="44">
        <f t="shared" si="80"/>
        <v>10</v>
      </c>
      <c r="CJ75" s="44">
        <f t="shared" si="81"/>
        <v>25.350355423009084</v>
      </c>
      <c r="CK75" s="44">
        <f t="shared" si="82"/>
        <v>30</v>
      </c>
      <c r="CL75" s="44">
        <f t="shared" si="83"/>
        <v>10</v>
      </c>
      <c r="CM75" s="44">
        <f t="shared" si="84"/>
        <v>9.8161880160056612</v>
      </c>
      <c r="CN75" s="47">
        <f t="shared" si="85"/>
        <v>0</v>
      </c>
      <c r="CO75" s="5"/>
      <c r="CP75" s="47">
        <f t="shared" si="86"/>
        <v>7.5000000000000023E-3</v>
      </c>
      <c r="CQ75" s="47">
        <f t="shared" si="87"/>
        <v>0.11412766567256812</v>
      </c>
      <c r="CR75" s="47">
        <f t="shared" si="88"/>
        <v>1.0304126234547484</v>
      </c>
      <c r="CS75" s="47">
        <f t="shared" si="89"/>
        <v>1</v>
      </c>
      <c r="CT75" s="47">
        <f t="shared" si="90"/>
        <v>2.5161880160056611E-2</v>
      </c>
      <c r="CU75" s="47">
        <f t="shared" si="91"/>
        <v>2.1772021692873729</v>
      </c>
    </row>
    <row r="76" spans="1:99" ht="15" customHeight="1">
      <c r="A76" s="5"/>
      <c r="B76" s="37" t="s">
        <v>150</v>
      </c>
      <c r="C76" s="37" t="s">
        <v>252</v>
      </c>
      <c r="D76" s="37" t="s">
        <v>255</v>
      </c>
      <c r="E76" s="26">
        <v>42551</v>
      </c>
      <c r="F76" s="38">
        <f t="shared" si="71"/>
        <v>84.128845899377581</v>
      </c>
      <c r="G76" s="4">
        <f>32543509-19628853-4688098</f>
        <v>8226558</v>
      </c>
      <c r="H76" s="4">
        <f>5456981-4980067-436162</f>
        <v>40752</v>
      </c>
      <c r="I76" s="4">
        <v>32543509</v>
      </c>
      <c r="J76" s="4">
        <v>26892889</v>
      </c>
      <c r="K76" s="4">
        <v>6305938</v>
      </c>
      <c r="L76" s="4">
        <v>18475106</v>
      </c>
      <c r="M76" s="4">
        <v>391602</v>
      </c>
      <c r="N76" s="4">
        <v>341917</v>
      </c>
      <c r="O76" s="4">
        <v>2595577</v>
      </c>
      <c r="P76" s="4">
        <f t="shared" si="92"/>
        <v>21804202</v>
      </c>
      <c r="Q76" s="4">
        <v>21955601</v>
      </c>
      <c r="R76" s="4">
        <f t="shared" si="97"/>
        <v>-151399</v>
      </c>
      <c r="S76" s="27">
        <v>21349428</v>
      </c>
      <c r="T76" s="27">
        <v>20534876</v>
      </c>
      <c r="U76" s="27">
        <v>21804202</v>
      </c>
      <c r="V76" s="27">
        <v>22472716</v>
      </c>
      <c r="W76" s="27">
        <v>298799</v>
      </c>
      <c r="X76" s="27">
        <v>436162</v>
      </c>
      <c r="Y76" s="27">
        <v>1396295</v>
      </c>
      <c r="Z76" s="27">
        <v>116443</v>
      </c>
      <c r="AA76" s="27">
        <f>5416229-X76-Y76-Z76</f>
        <v>3467329</v>
      </c>
      <c r="AB76" s="27">
        <f t="shared" si="98"/>
        <v>5416229</v>
      </c>
      <c r="AC76" s="27">
        <v>116443</v>
      </c>
      <c r="AD76" s="27">
        <v>0</v>
      </c>
      <c r="AE76" s="27">
        <f>AC76+AD76</f>
        <v>116443</v>
      </c>
      <c r="AF76" s="27">
        <v>0</v>
      </c>
      <c r="AG76" s="27">
        <v>15509</v>
      </c>
      <c r="AH76" s="27">
        <v>13908</v>
      </c>
      <c r="AI76" s="27">
        <v>0</v>
      </c>
      <c r="AJ76" s="26">
        <v>41820</v>
      </c>
      <c r="AK76" s="39">
        <v>0</v>
      </c>
      <c r="AL76" s="39">
        <v>149972</v>
      </c>
      <c r="AM76" s="39">
        <f>AL76-AK76</f>
        <v>149972</v>
      </c>
      <c r="AN76" s="40">
        <f>AK76/AL76</f>
        <v>0</v>
      </c>
      <c r="AO76" s="40">
        <v>0.04</v>
      </c>
      <c r="AP76" s="49"/>
      <c r="AQ76" s="27"/>
      <c r="AR76" s="27">
        <v>104018</v>
      </c>
      <c r="AS76" s="27">
        <v>0</v>
      </c>
      <c r="AT76" s="27">
        <v>0</v>
      </c>
      <c r="AU76" s="27">
        <v>0</v>
      </c>
      <c r="AV76" s="27">
        <v>0</v>
      </c>
      <c r="AW76" s="27">
        <v>4704214</v>
      </c>
      <c r="AX76" s="27">
        <f t="shared" si="93"/>
        <v>4704214</v>
      </c>
      <c r="AY76" s="27">
        <v>0</v>
      </c>
      <c r="AZ76" s="27">
        <v>84518</v>
      </c>
      <c r="BA76" s="27">
        <v>1324816</v>
      </c>
      <c r="BB76" s="27">
        <v>1925118</v>
      </c>
      <c r="BC76" s="27">
        <v>4704214</v>
      </c>
      <c r="BD76" s="27">
        <f t="shared" si="100"/>
        <v>8038666</v>
      </c>
      <c r="BE76" s="29">
        <f t="shared" si="72"/>
        <v>0</v>
      </c>
      <c r="BF76" s="29">
        <f t="shared" si="73"/>
        <v>0.2290841201086386</v>
      </c>
      <c r="BG76" s="29">
        <f t="shared" si="74"/>
        <v>0.18436510540491233</v>
      </c>
      <c r="BH76" s="42">
        <f>VLOOKUP(B76,Unemployment!$A$2:$F$193,6,0)</f>
        <v>-0.5</v>
      </c>
      <c r="BI76" s="29">
        <f>VLOOKUP(B76,Zillow!$C$11:$R$193,16,0)</f>
        <v>-7.4903678177423039E-3</v>
      </c>
      <c r="BJ76" s="5"/>
      <c r="BK76" s="6">
        <v>10</v>
      </c>
      <c r="BL76" s="6">
        <v>40</v>
      </c>
      <c r="BM76" s="6">
        <v>30</v>
      </c>
      <c r="BN76" s="6">
        <v>10</v>
      </c>
      <c r="BO76" s="6">
        <v>10</v>
      </c>
      <c r="BP76" s="5"/>
      <c r="BQ76" s="43">
        <v>0.2</v>
      </c>
      <c r="BR76" s="43">
        <v>0.02</v>
      </c>
      <c r="BS76" s="43">
        <v>2.2000000000000002</v>
      </c>
      <c r="BT76" s="44">
        <v>0.02</v>
      </c>
      <c r="BU76" s="43">
        <v>-7.0000000000000007E-2</v>
      </c>
      <c r="BV76" s="5"/>
      <c r="BW76" s="43">
        <v>0.05</v>
      </c>
      <c r="BX76" s="43">
        <v>0.32</v>
      </c>
      <c r="BY76" s="43">
        <v>0.4</v>
      </c>
      <c r="BZ76" s="44">
        <v>0</v>
      </c>
      <c r="CA76" s="43">
        <v>0.03</v>
      </c>
      <c r="CB76" s="5"/>
      <c r="CC76" s="45">
        <f t="shared" si="75"/>
        <v>-1.5000000000000003E-2</v>
      </c>
      <c r="CD76" s="45">
        <f t="shared" si="76"/>
        <v>7.4999999999999997E-3</v>
      </c>
      <c r="CE76" s="45">
        <f t="shared" si="77"/>
        <v>-6.0000000000000012E-2</v>
      </c>
      <c r="CF76" s="46">
        <f t="shared" si="78"/>
        <v>-2E-3</v>
      </c>
      <c r="CG76" s="45">
        <f t="shared" si="79"/>
        <v>0.01</v>
      </c>
      <c r="CH76" s="5"/>
      <c r="CI76" s="44">
        <f t="shared" si="80"/>
        <v>10</v>
      </c>
      <c r="CJ76" s="44">
        <f t="shared" si="81"/>
        <v>27.877882681151817</v>
      </c>
      <c r="CK76" s="44">
        <f t="shared" si="82"/>
        <v>30</v>
      </c>
      <c r="CL76" s="44">
        <f t="shared" si="83"/>
        <v>10</v>
      </c>
      <c r="CM76" s="44">
        <f t="shared" si="84"/>
        <v>6.2509632182257704</v>
      </c>
      <c r="CN76" s="47">
        <f t="shared" si="85"/>
        <v>0</v>
      </c>
      <c r="CO76" s="5"/>
      <c r="CP76" s="47">
        <f t="shared" si="86"/>
        <v>7.5000000000000023E-3</v>
      </c>
      <c r="CQ76" s="47">
        <f t="shared" si="87"/>
        <v>0.13308412010863863</v>
      </c>
      <c r="CR76" s="47">
        <f t="shared" si="88"/>
        <v>0.90436510540491255</v>
      </c>
      <c r="CS76" s="47">
        <f t="shared" si="89"/>
        <v>0.5</v>
      </c>
      <c r="CT76" s="47">
        <f t="shared" si="90"/>
        <v>1.0490367817742303E-2</v>
      </c>
      <c r="CU76" s="47">
        <f t="shared" si="91"/>
        <v>1.5554395933312937</v>
      </c>
    </row>
    <row r="77" spans="1:99" ht="15" customHeight="1">
      <c r="A77" s="5"/>
      <c r="B77" s="37" t="s">
        <v>144</v>
      </c>
      <c r="C77" s="37" t="s">
        <v>252</v>
      </c>
      <c r="D77" s="37" t="s">
        <v>255</v>
      </c>
      <c r="E77" s="26">
        <v>42551</v>
      </c>
      <c r="F77" s="38">
        <f t="shared" si="71"/>
        <v>82.218655759742859</v>
      </c>
      <c r="G77" s="4">
        <f>13566780</f>
        <v>13566780</v>
      </c>
      <c r="H77" s="4">
        <f>14060349-8870314-654390</f>
        <v>4535645</v>
      </c>
      <c r="I77" s="4">
        <v>62328427</v>
      </c>
      <c r="J77" s="4">
        <v>48446459</v>
      </c>
      <c r="K77" s="4">
        <f>9835931+680707</f>
        <v>10516638</v>
      </c>
      <c r="L77" s="4">
        <f>18631249</f>
        <v>18631249</v>
      </c>
      <c r="M77" s="4">
        <v>72023</v>
      </c>
      <c r="N77" s="4">
        <f>1658873</f>
        <v>1658873</v>
      </c>
      <c r="O77" s="4">
        <f>9323815</f>
        <v>9323815</v>
      </c>
      <c r="P77" s="4">
        <f t="shared" si="92"/>
        <v>29685960</v>
      </c>
      <c r="Q77" s="4">
        <f>27914695</f>
        <v>27914695</v>
      </c>
      <c r="R77" s="4">
        <f t="shared" si="97"/>
        <v>1771265</v>
      </c>
      <c r="S77" s="27">
        <v>27215422</v>
      </c>
      <c r="T77" s="27">
        <v>24075581</v>
      </c>
      <c r="U77" s="27">
        <v>29172600</v>
      </c>
      <c r="V77" s="27">
        <v>28010799</v>
      </c>
      <c r="W77" s="27">
        <v>1033243</v>
      </c>
      <c r="X77" s="27">
        <f>566269+88121</f>
        <v>654390</v>
      </c>
      <c r="Y77" s="27">
        <v>656951</v>
      </c>
      <c r="Z77" s="27">
        <v>1835300</v>
      </c>
      <c r="AA77" s="27">
        <f>4914183+4610521-X77-Y77-Z77</f>
        <v>6378063</v>
      </c>
      <c r="AB77" s="27">
        <f t="shared" si="98"/>
        <v>9524704</v>
      </c>
      <c r="AC77" s="27">
        <v>1835300</v>
      </c>
      <c r="AD77" s="27">
        <v>0</v>
      </c>
      <c r="AE77" s="27">
        <f>AC77+AD77</f>
        <v>1835300</v>
      </c>
      <c r="AF77" s="27">
        <v>0</v>
      </c>
      <c r="AG77" s="27">
        <v>221300</v>
      </c>
      <c r="AH77" s="27">
        <v>191200</v>
      </c>
      <c r="AI77" s="27">
        <v>71100</v>
      </c>
      <c r="AJ77" s="26">
        <v>41821</v>
      </c>
      <c r="AK77" s="39">
        <v>0</v>
      </c>
      <c r="AL77" s="39">
        <v>2779300</v>
      </c>
      <c r="AM77" s="39">
        <f>AL77-AK77</f>
        <v>2779300</v>
      </c>
      <c r="AN77" s="40">
        <f>AK77/AL77</f>
        <v>0</v>
      </c>
      <c r="AO77" s="40">
        <v>3.5000000000000003E-2</v>
      </c>
      <c r="AP77" s="49"/>
      <c r="AQ77" s="27">
        <v>128520</v>
      </c>
      <c r="AR77" s="27">
        <v>128520</v>
      </c>
      <c r="AS77" s="27">
        <v>2008</v>
      </c>
      <c r="AT77" s="27">
        <v>0</v>
      </c>
      <c r="AU77" s="27">
        <v>0</v>
      </c>
      <c r="AV77" s="27">
        <v>280098</v>
      </c>
      <c r="AW77" s="27">
        <v>4704364</v>
      </c>
      <c r="AX77" s="27">
        <f t="shared" si="93"/>
        <v>4986470</v>
      </c>
      <c r="AY77" s="27">
        <v>341765</v>
      </c>
      <c r="AZ77" s="27">
        <v>4068155</v>
      </c>
      <c r="BA77" s="27">
        <v>1884449</v>
      </c>
      <c r="BB77" s="27">
        <v>515786</v>
      </c>
      <c r="BC77" s="27">
        <v>4525504</v>
      </c>
      <c r="BD77" s="27">
        <f t="shared" si="100"/>
        <v>11335659</v>
      </c>
      <c r="BE77" s="29">
        <f t="shared" si="72"/>
        <v>4.3293193145850766E-3</v>
      </c>
      <c r="BF77" s="29">
        <f t="shared" si="73"/>
        <v>0.20711732771890323</v>
      </c>
      <c r="BG77" s="29">
        <f t="shared" si="74"/>
        <v>0.29871875458971175</v>
      </c>
      <c r="BH77" s="42">
        <f>VLOOKUP(B77,Unemployment!$A$2:$F$193,6,0)</f>
        <v>-0.40000000000000036</v>
      </c>
      <c r="BI77" s="29">
        <f>VLOOKUP(B77,Zillow!$C$11:$R$193,16,0)</f>
        <v>2.6967873055577267E-3</v>
      </c>
      <c r="BJ77" s="5"/>
      <c r="BK77" s="6">
        <v>10</v>
      </c>
      <c r="BL77" s="6">
        <v>40</v>
      </c>
      <c r="BM77" s="6">
        <v>30</v>
      </c>
      <c r="BN77" s="6">
        <v>10</v>
      </c>
      <c r="BO77" s="6">
        <v>10</v>
      </c>
      <c r="BP77" s="5"/>
      <c r="BQ77" s="43">
        <v>0.2</v>
      </c>
      <c r="BR77" s="43">
        <v>0.02</v>
      </c>
      <c r="BS77" s="43">
        <v>2.2000000000000002</v>
      </c>
      <c r="BT77" s="44">
        <v>0.02</v>
      </c>
      <c r="BU77" s="43">
        <v>-7.0000000000000007E-2</v>
      </c>
      <c r="BV77" s="5"/>
      <c r="BW77" s="43">
        <v>0.05</v>
      </c>
      <c r="BX77" s="43">
        <v>0.32</v>
      </c>
      <c r="BY77" s="43">
        <v>0.4</v>
      </c>
      <c r="BZ77" s="44">
        <v>0</v>
      </c>
      <c r="CA77" s="43">
        <v>0.03</v>
      </c>
      <c r="CB77" s="5"/>
      <c r="CC77" s="45">
        <f t="shared" si="75"/>
        <v>-1.5000000000000003E-2</v>
      </c>
      <c r="CD77" s="45">
        <f t="shared" si="76"/>
        <v>7.4999999999999997E-3</v>
      </c>
      <c r="CE77" s="45">
        <f t="shared" si="77"/>
        <v>-6.0000000000000012E-2</v>
      </c>
      <c r="CF77" s="46">
        <f t="shared" si="78"/>
        <v>-2E-3</v>
      </c>
      <c r="CG77" s="45">
        <f t="shared" si="79"/>
        <v>0.01</v>
      </c>
      <c r="CH77" s="5"/>
      <c r="CI77" s="44">
        <f t="shared" si="80"/>
        <v>10</v>
      </c>
      <c r="CJ77" s="44">
        <f t="shared" si="81"/>
        <v>24.948977029187098</v>
      </c>
      <c r="CK77" s="44">
        <f t="shared" si="82"/>
        <v>30</v>
      </c>
      <c r="CL77" s="44">
        <f t="shared" si="83"/>
        <v>10</v>
      </c>
      <c r="CM77" s="44">
        <f t="shared" si="84"/>
        <v>7.2696787305557731</v>
      </c>
      <c r="CN77" s="47">
        <f t="shared" si="85"/>
        <v>0</v>
      </c>
      <c r="CO77" s="5"/>
      <c r="CP77" s="47">
        <f t="shared" si="86"/>
        <v>1.1829319314585078E-2</v>
      </c>
      <c r="CQ77" s="47">
        <f t="shared" si="87"/>
        <v>0.11111732771890324</v>
      </c>
      <c r="CR77" s="47">
        <f t="shared" si="88"/>
        <v>1.0187187545897118</v>
      </c>
      <c r="CS77" s="47">
        <f t="shared" si="89"/>
        <v>0.40000000000000036</v>
      </c>
      <c r="CT77" s="47">
        <f t="shared" si="90"/>
        <v>3.0321269444227297E-4</v>
      </c>
      <c r="CU77" s="47">
        <f t="shared" si="91"/>
        <v>1.5419686143176428</v>
      </c>
    </row>
    <row r="78" spans="1:99" ht="15" customHeight="1">
      <c r="A78" s="5"/>
      <c r="B78" s="37" t="s">
        <v>51</v>
      </c>
      <c r="C78" s="37" t="s">
        <v>252</v>
      </c>
      <c r="D78" s="37" t="s">
        <v>255</v>
      </c>
      <c r="E78" s="26">
        <v>42551</v>
      </c>
      <c r="F78" s="38">
        <f t="shared" si="71"/>
        <v>67.266993368252727</v>
      </c>
      <c r="G78" s="4">
        <v>19617304</v>
      </c>
      <c r="H78" s="4">
        <v>12327038</v>
      </c>
      <c r="I78" s="4">
        <v>105972250</v>
      </c>
      <c r="J78" s="4">
        <v>59396571</v>
      </c>
      <c r="K78" s="4">
        <v>6183868</v>
      </c>
      <c r="L78" s="4">
        <v>35268295</v>
      </c>
      <c r="M78" s="4">
        <v>1441748</v>
      </c>
      <c r="N78" s="4">
        <v>5769044</v>
      </c>
      <c r="O78" s="4">
        <v>21479401</v>
      </c>
      <c r="P78" s="4">
        <f t="shared" si="92"/>
        <v>63958488</v>
      </c>
      <c r="Q78" s="4">
        <v>62825300</v>
      </c>
      <c r="R78" s="4">
        <f t="shared" si="97"/>
        <v>1133188</v>
      </c>
      <c r="S78" s="27">
        <v>57019984</v>
      </c>
      <c r="T78" s="27">
        <v>55363620</v>
      </c>
      <c r="U78" s="27">
        <v>62570922</v>
      </c>
      <c r="V78" s="27">
        <v>67115327</v>
      </c>
      <c r="W78" s="27">
        <v>387423</v>
      </c>
      <c r="X78" s="27">
        <v>1617299</v>
      </c>
      <c r="Y78" s="27">
        <v>6361358</v>
      </c>
      <c r="Z78" s="27">
        <v>3207241</v>
      </c>
      <c r="AA78" s="27">
        <f>32096050-X78-Y78-Z78</f>
        <v>20910152</v>
      </c>
      <c r="AB78" s="27">
        <f t="shared" si="98"/>
        <v>32096050</v>
      </c>
      <c r="AC78" s="27">
        <v>3207241</v>
      </c>
      <c r="AD78" s="27">
        <v>0</v>
      </c>
      <c r="AE78" s="27">
        <f>AC78+AD78</f>
        <v>3207241</v>
      </c>
      <c r="AF78" s="27">
        <v>0</v>
      </c>
      <c r="AG78" s="27">
        <v>929876</v>
      </c>
      <c r="AH78" s="27">
        <v>920654</v>
      </c>
      <c r="AI78" s="27">
        <v>364781</v>
      </c>
      <c r="AJ78" s="26">
        <v>42186</v>
      </c>
      <c r="AK78" s="39">
        <v>0</v>
      </c>
      <c r="AL78" s="39">
        <v>12569506</v>
      </c>
      <c r="AM78" s="39">
        <f>AL78-AK78</f>
        <v>12569506</v>
      </c>
      <c r="AN78" s="40">
        <f>AK78/AL78</f>
        <v>0</v>
      </c>
      <c r="AO78" s="40">
        <v>0.04</v>
      </c>
      <c r="AP78" s="49"/>
      <c r="AQ78" s="27">
        <v>1026595</v>
      </c>
      <c r="AR78" s="27">
        <v>1109374</v>
      </c>
      <c r="AS78" s="27">
        <v>0</v>
      </c>
      <c r="AT78" s="27">
        <v>0</v>
      </c>
      <c r="AU78" s="27">
        <v>0</v>
      </c>
      <c r="AV78" s="27">
        <v>100000</v>
      </c>
      <c r="AW78" s="27">
        <v>4041096</v>
      </c>
      <c r="AX78" s="27">
        <f t="shared" si="93"/>
        <v>4141096</v>
      </c>
      <c r="AY78" s="27">
        <v>41914</v>
      </c>
      <c r="AZ78" s="27">
        <v>3008009</v>
      </c>
      <c r="BA78" s="27">
        <v>138618</v>
      </c>
      <c r="BB78" s="27">
        <v>182849</v>
      </c>
      <c r="BC78" s="27">
        <v>4041096</v>
      </c>
      <c r="BD78" s="27">
        <f t="shared" si="100"/>
        <v>7412486</v>
      </c>
      <c r="BE78" s="29">
        <f t="shared" si="72"/>
        <v>1.605095792758578E-2</v>
      </c>
      <c r="BF78" s="29">
        <f t="shared" si="73"/>
        <v>7.479814361849893E-2</v>
      </c>
      <c r="BG78" s="29">
        <f t="shared" si="74"/>
        <v>0.40236554685282744</v>
      </c>
      <c r="BH78" s="42">
        <f>VLOOKUP(B78,Unemployment!$A$2:$F$193,6,0)</f>
        <v>-0.79999999999999982</v>
      </c>
      <c r="BI78" s="29">
        <f>VLOOKUP(B78,Zillow!$C$11:$R$193,16,0)</f>
        <v>3.5635894125242089E-2</v>
      </c>
      <c r="BJ78" s="5"/>
      <c r="BK78" s="6">
        <v>10</v>
      </c>
      <c r="BL78" s="6">
        <v>40</v>
      </c>
      <c r="BM78" s="6">
        <v>30</v>
      </c>
      <c r="BN78" s="6">
        <v>10</v>
      </c>
      <c r="BO78" s="6">
        <v>10</v>
      </c>
      <c r="BP78" s="5"/>
      <c r="BQ78" s="43">
        <v>0.2</v>
      </c>
      <c r="BR78" s="43">
        <v>0.02</v>
      </c>
      <c r="BS78" s="43">
        <v>2.2000000000000002</v>
      </c>
      <c r="BT78" s="44">
        <v>0.02</v>
      </c>
      <c r="BU78" s="43">
        <v>-7.0000000000000007E-2</v>
      </c>
      <c r="BV78" s="5"/>
      <c r="BW78" s="43">
        <v>0.05</v>
      </c>
      <c r="BX78" s="43">
        <v>0.32</v>
      </c>
      <c r="BY78" s="43">
        <v>0.4</v>
      </c>
      <c r="BZ78" s="44">
        <v>0</v>
      </c>
      <c r="CA78" s="43">
        <v>0.03</v>
      </c>
      <c r="CB78" s="5"/>
      <c r="CC78" s="45">
        <f t="shared" si="75"/>
        <v>-1.5000000000000003E-2</v>
      </c>
      <c r="CD78" s="45">
        <f t="shared" si="76"/>
        <v>7.4999999999999997E-3</v>
      </c>
      <c r="CE78" s="45">
        <f t="shared" si="77"/>
        <v>-6.0000000000000012E-2</v>
      </c>
      <c r="CF78" s="46">
        <f t="shared" si="78"/>
        <v>-2E-3</v>
      </c>
      <c r="CG78" s="45">
        <f t="shared" si="79"/>
        <v>0.01</v>
      </c>
      <c r="CH78" s="5"/>
      <c r="CI78" s="44">
        <f t="shared" si="80"/>
        <v>10</v>
      </c>
      <c r="CJ78" s="44">
        <f t="shared" si="81"/>
        <v>7.3064191491331902</v>
      </c>
      <c r="CK78" s="44">
        <f t="shared" si="82"/>
        <v>29.96057421911954</v>
      </c>
      <c r="CL78" s="44">
        <f t="shared" si="83"/>
        <v>10</v>
      </c>
      <c r="CM78" s="44">
        <f t="shared" si="84"/>
        <v>10</v>
      </c>
      <c r="CN78" s="47">
        <f t="shared" si="85"/>
        <v>0</v>
      </c>
      <c r="CO78" s="5"/>
      <c r="CP78" s="47">
        <f t="shared" si="86"/>
        <v>2.3550957927585783E-2</v>
      </c>
      <c r="CQ78" s="47">
        <f t="shared" si="87"/>
        <v>2.1201856381501058E-2</v>
      </c>
      <c r="CR78" s="47">
        <f t="shared" si="88"/>
        <v>1.1223655468528277</v>
      </c>
      <c r="CS78" s="47">
        <f t="shared" si="89"/>
        <v>0.79999999999999982</v>
      </c>
      <c r="CT78" s="47">
        <f t="shared" si="90"/>
        <v>3.2635894125242086E-2</v>
      </c>
      <c r="CU78" s="47">
        <f t="shared" si="91"/>
        <v>1.9997542552871563</v>
      </c>
    </row>
    <row r="79" spans="1:99" ht="15" customHeight="1">
      <c r="A79" s="5"/>
      <c r="B79" s="37" t="s">
        <v>102</v>
      </c>
      <c r="C79" s="37" t="s">
        <v>252</v>
      </c>
      <c r="D79" s="37" t="s">
        <v>255</v>
      </c>
      <c r="E79" s="26">
        <v>42551</v>
      </c>
      <c r="F79" s="38">
        <f t="shared" si="71"/>
        <v>75.614381150207663</v>
      </c>
      <c r="G79" s="4">
        <f>20346468-12535686-2604586</f>
        <v>5206196</v>
      </c>
      <c r="H79" s="4">
        <f>5738289-3743736-1336724</f>
        <v>657829</v>
      </c>
      <c r="I79" s="4">
        <v>20346468</v>
      </c>
      <c r="J79" s="4">
        <v>14612431</v>
      </c>
      <c r="K79" s="4">
        <v>1800362</v>
      </c>
      <c r="L79" s="4">
        <v>8576247</v>
      </c>
      <c r="M79" s="4">
        <v>89620</v>
      </c>
      <c r="N79" s="4">
        <v>590194</v>
      </c>
      <c r="O79" s="4">
        <v>5601929</v>
      </c>
      <c r="P79" s="4">
        <f t="shared" si="92"/>
        <v>14857990</v>
      </c>
      <c r="Q79" s="4">
        <v>14697930</v>
      </c>
      <c r="R79" s="4">
        <f t="shared" si="97"/>
        <v>160060</v>
      </c>
      <c r="S79" s="27">
        <v>13741011</v>
      </c>
      <c r="T79" s="27">
        <v>14700215</v>
      </c>
      <c r="U79" s="27">
        <v>14837895</v>
      </c>
      <c r="V79" s="27">
        <v>16120809</v>
      </c>
      <c r="W79" s="27">
        <v>-165454</v>
      </c>
      <c r="X79" s="27">
        <v>1336724</v>
      </c>
      <c r="Y79" s="27">
        <v>655646</v>
      </c>
      <c r="Z79" s="27">
        <v>1214600</v>
      </c>
      <c r="AA79" s="27">
        <f>5080460-X79-Y79-Z79</f>
        <v>1873490</v>
      </c>
      <c r="AB79" s="27">
        <f t="shared" si="98"/>
        <v>5080460</v>
      </c>
      <c r="AC79" s="27">
        <v>1214600</v>
      </c>
      <c r="AD79" s="27">
        <v>0</v>
      </c>
      <c r="AE79" s="27">
        <f>AC79+AD79</f>
        <v>1214600</v>
      </c>
      <c r="AF79" s="27">
        <v>0</v>
      </c>
      <c r="AG79" s="27">
        <v>180097</v>
      </c>
      <c r="AH79" s="27">
        <v>165417</v>
      </c>
      <c r="AI79" s="27">
        <v>18048</v>
      </c>
      <c r="AJ79" s="26">
        <v>41091</v>
      </c>
      <c r="AK79" s="39">
        <v>0</v>
      </c>
      <c r="AL79" s="39">
        <v>1502602</v>
      </c>
      <c r="AM79" s="39">
        <f>AL79-AK79</f>
        <v>1502602</v>
      </c>
      <c r="AN79" s="40">
        <f>AK79/AL79</f>
        <v>0</v>
      </c>
      <c r="AO79" s="40">
        <v>4.4999999999999998E-2</v>
      </c>
      <c r="AP79" s="50" t="s">
        <v>290</v>
      </c>
      <c r="AQ79" s="27">
        <v>49478</v>
      </c>
      <c r="AR79" s="27">
        <v>49478</v>
      </c>
      <c r="AS79" s="27">
        <v>0</v>
      </c>
      <c r="AT79" s="27">
        <v>46069</v>
      </c>
      <c r="AU79" s="27">
        <v>0</v>
      </c>
      <c r="AV79" s="27">
        <v>311922</v>
      </c>
      <c r="AW79" s="27">
        <v>1657524</v>
      </c>
      <c r="AX79" s="27">
        <f t="shared" si="93"/>
        <v>2015515</v>
      </c>
      <c r="AY79" s="27">
        <v>7485</v>
      </c>
      <c r="AZ79" s="27">
        <v>620094</v>
      </c>
      <c r="BA79" s="27">
        <v>219736</v>
      </c>
      <c r="BB79" s="27">
        <v>1572572</v>
      </c>
      <c r="BC79" s="27">
        <v>1657524</v>
      </c>
      <c r="BD79" s="27">
        <f t="shared" si="100"/>
        <v>4077411</v>
      </c>
      <c r="BE79" s="29">
        <f t="shared" si="72"/>
        <v>3.3300601225333981E-3</v>
      </c>
      <c r="BF79" s="29">
        <f t="shared" si="73"/>
        <v>0.1371078586265575</v>
      </c>
      <c r="BG79" s="29">
        <f t="shared" si="74"/>
        <v>0.29780703850251616</v>
      </c>
      <c r="BH79" s="42">
        <f>VLOOKUP(B79,Unemployment!$A$2:$F$193,6,0)</f>
        <v>-0.59999999999999964</v>
      </c>
      <c r="BI79" s="29">
        <f>VLOOKUP(B79,Zillow!$C$11:$R$193,16,0)</f>
        <v>3.6721636478327581E-2</v>
      </c>
      <c r="BJ79" s="5"/>
      <c r="BK79" s="6">
        <v>10</v>
      </c>
      <c r="BL79" s="6">
        <v>40</v>
      </c>
      <c r="BM79" s="6">
        <v>30</v>
      </c>
      <c r="BN79" s="6">
        <v>10</v>
      </c>
      <c r="BO79" s="6">
        <v>10</v>
      </c>
      <c r="BP79" s="5"/>
      <c r="BQ79" s="43">
        <v>0.2</v>
      </c>
      <c r="BR79" s="43">
        <v>0.02</v>
      </c>
      <c r="BS79" s="43">
        <v>2.2000000000000002</v>
      </c>
      <c r="BT79" s="44">
        <v>0.02</v>
      </c>
      <c r="BU79" s="43">
        <v>-7.0000000000000007E-2</v>
      </c>
      <c r="BV79" s="5"/>
      <c r="BW79" s="43">
        <v>0.05</v>
      </c>
      <c r="BX79" s="43">
        <v>0.32</v>
      </c>
      <c r="BY79" s="43">
        <v>0.4</v>
      </c>
      <c r="BZ79" s="44">
        <v>0</v>
      </c>
      <c r="CA79" s="43">
        <v>0.03</v>
      </c>
      <c r="CB79" s="5"/>
      <c r="CC79" s="45">
        <f t="shared" si="75"/>
        <v>-1.5000000000000003E-2</v>
      </c>
      <c r="CD79" s="45">
        <f t="shared" si="76"/>
        <v>7.4999999999999997E-3</v>
      </c>
      <c r="CE79" s="45">
        <f t="shared" si="77"/>
        <v>-6.0000000000000012E-2</v>
      </c>
      <c r="CF79" s="46">
        <f t="shared" si="78"/>
        <v>-2E-3</v>
      </c>
      <c r="CG79" s="45">
        <f t="shared" si="79"/>
        <v>0.01</v>
      </c>
      <c r="CH79" s="5"/>
      <c r="CI79" s="44">
        <f t="shared" si="80"/>
        <v>10</v>
      </c>
      <c r="CJ79" s="44">
        <f t="shared" si="81"/>
        <v>15.614381150207667</v>
      </c>
      <c r="CK79" s="44">
        <f t="shared" si="82"/>
        <v>30</v>
      </c>
      <c r="CL79" s="44">
        <f t="shared" si="83"/>
        <v>10</v>
      </c>
      <c r="CM79" s="44">
        <f t="shared" si="84"/>
        <v>10</v>
      </c>
      <c r="CN79" s="47">
        <f t="shared" si="85"/>
        <v>0</v>
      </c>
      <c r="CO79" s="5"/>
      <c r="CP79" s="47">
        <f t="shared" si="86"/>
        <v>1.0830060122533401E-2</v>
      </c>
      <c r="CQ79" s="47">
        <f t="shared" si="87"/>
        <v>4.1107858626557511E-2</v>
      </c>
      <c r="CR79" s="47">
        <f t="shared" si="88"/>
        <v>1.0178070385025164</v>
      </c>
      <c r="CS79" s="47">
        <f t="shared" si="89"/>
        <v>0.59999999999999964</v>
      </c>
      <c r="CT79" s="47">
        <f t="shared" si="90"/>
        <v>3.3721636478327578E-2</v>
      </c>
      <c r="CU79" s="47">
        <f t="shared" si="91"/>
        <v>1.7034665937299345</v>
      </c>
    </row>
    <row r="80" spans="1:99" ht="15" customHeight="1">
      <c r="A80" s="5"/>
      <c r="B80" s="37" t="s">
        <v>54</v>
      </c>
      <c r="C80" s="37" t="s">
        <v>252</v>
      </c>
      <c r="D80" s="37" t="s">
        <v>255</v>
      </c>
      <c r="E80" s="26">
        <v>42551</v>
      </c>
      <c r="F80" s="38">
        <f t="shared" si="71"/>
        <v>67.820462835063154</v>
      </c>
      <c r="G80" s="4">
        <v>15393949</v>
      </c>
      <c r="H80" s="4">
        <v>2831345</v>
      </c>
      <c r="I80" s="4">
        <v>90300419</v>
      </c>
      <c r="J80" s="4">
        <v>57981944</v>
      </c>
      <c r="K80" s="4">
        <v>6985384</v>
      </c>
      <c r="L80" s="4">
        <v>27462698</v>
      </c>
      <c r="M80" s="4">
        <v>816617</v>
      </c>
      <c r="N80" s="4">
        <v>2370015</v>
      </c>
      <c r="O80" s="4">
        <v>3141606</v>
      </c>
      <c r="P80" s="4">
        <f>O80+N80+M80+L80</f>
        <v>33790936</v>
      </c>
      <c r="Q80" s="4">
        <v>30333337</v>
      </c>
      <c r="R80" s="4">
        <v>3457599</v>
      </c>
      <c r="S80" s="27">
        <v>31456339</v>
      </c>
      <c r="T80" s="27">
        <v>30804327</v>
      </c>
      <c r="U80" s="27">
        <v>34454659</v>
      </c>
      <c r="V80" s="27">
        <v>35751978</v>
      </c>
      <c r="W80" s="27">
        <v>-43039</v>
      </c>
      <c r="X80" s="27">
        <v>2882309</v>
      </c>
      <c r="Y80" s="27">
        <v>5023516</v>
      </c>
      <c r="Z80" s="27">
        <v>1048135</v>
      </c>
      <c r="AA80" s="27">
        <v>21687138</v>
      </c>
      <c r="AB80" s="27">
        <f t="shared" si="98"/>
        <v>30641098</v>
      </c>
      <c r="AC80" s="27">
        <v>1048135</v>
      </c>
      <c r="AD80" s="27">
        <v>0</v>
      </c>
      <c r="AE80" s="27">
        <f>AC80+AD80</f>
        <v>1048135</v>
      </c>
      <c r="AF80" s="27">
        <v>0</v>
      </c>
      <c r="AG80" s="27">
        <v>206921</v>
      </c>
      <c r="AH80" s="27">
        <v>188913</v>
      </c>
      <c r="AI80" s="2" t="s">
        <v>291</v>
      </c>
      <c r="AJ80" s="26">
        <v>41821</v>
      </c>
      <c r="AK80" s="39">
        <v>886171</v>
      </c>
      <c r="AL80" s="39">
        <v>2570923</v>
      </c>
      <c r="AM80" s="39">
        <f>AL80-AK80</f>
        <v>1684752</v>
      </c>
      <c r="AN80" s="40">
        <f>AK80/AL80</f>
        <v>0.34468982540511717</v>
      </c>
      <c r="AO80" s="40">
        <v>7.0000000000000007E-2</v>
      </c>
      <c r="AP80" s="40">
        <v>0.03</v>
      </c>
      <c r="AQ80" s="27">
        <f>669+107</f>
        <v>776</v>
      </c>
      <c r="AR80" s="27">
        <f>682+154</f>
        <v>836</v>
      </c>
      <c r="AS80" s="27">
        <v>60606</v>
      </c>
      <c r="AT80" s="27">
        <v>0</v>
      </c>
      <c r="AU80" s="27">
        <v>0</v>
      </c>
      <c r="AV80" s="27">
        <v>465792</v>
      </c>
      <c r="AW80" s="27">
        <v>4203563</v>
      </c>
      <c r="AX80" s="27">
        <f t="shared" si="93"/>
        <v>4729961</v>
      </c>
      <c r="AY80" s="27">
        <v>60606</v>
      </c>
      <c r="AZ80" s="27">
        <v>10398</v>
      </c>
      <c r="BA80" s="27">
        <f>926198+501980</f>
        <v>1428178</v>
      </c>
      <c r="BB80" s="27">
        <v>1959974</v>
      </c>
      <c r="BC80" s="27">
        <v>4055596</v>
      </c>
      <c r="BD80" s="27">
        <f>AY80+AZ80+BA80+BB80+BC80</f>
        <v>7514752</v>
      </c>
      <c r="BE80" s="29">
        <f t="shared" si="72"/>
        <v>2.2964738236312839E-5</v>
      </c>
      <c r="BF80" s="29">
        <f t="shared" si="73"/>
        <v>0.15354859075479882</v>
      </c>
      <c r="BG80" s="29">
        <f t="shared" si="74"/>
        <v>0.75811992896556635</v>
      </c>
      <c r="BH80" s="42">
        <f>VLOOKUP(B80,Unemployment!$A$2:$F$193,6,0)</f>
        <v>-0.20000000000000018</v>
      </c>
      <c r="BI80" s="52">
        <f>VLOOKUP(VLOOKUP(B80,Counties!$A$20:$E$189,2,0),Zillow!$C$3:$R$10,16,0)</f>
        <v>-1.0173504494839088E-2</v>
      </c>
      <c r="BJ80" s="5"/>
      <c r="BK80" s="6">
        <v>10</v>
      </c>
      <c r="BL80" s="6">
        <v>40</v>
      </c>
      <c r="BM80" s="6">
        <v>30</v>
      </c>
      <c r="BN80" s="6">
        <v>10</v>
      </c>
      <c r="BO80" s="6">
        <v>10</v>
      </c>
      <c r="BP80" s="5"/>
      <c r="BQ80" s="43">
        <v>0.2</v>
      </c>
      <c r="BR80" s="43">
        <v>0.02</v>
      </c>
      <c r="BS80" s="43">
        <v>2.2000000000000002</v>
      </c>
      <c r="BT80" s="44">
        <v>0.02</v>
      </c>
      <c r="BU80" s="43">
        <v>-7.0000000000000007E-2</v>
      </c>
      <c r="BV80" s="5"/>
      <c r="BW80" s="43">
        <v>0.05</v>
      </c>
      <c r="BX80" s="43">
        <v>0.32</v>
      </c>
      <c r="BY80" s="43">
        <v>0.4</v>
      </c>
      <c r="BZ80" s="44">
        <v>0</v>
      </c>
      <c r="CA80" s="43">
        <v>0.03</v>
      </c>
      <c r="CB80" s="5"/>
      <c r="CC80" s="45">
        <f t="shared" si="75"/>
        <v>-1.5000000000000003E-2</v>
      </c>
      <c r="CD80" s="45">
        <f t="shared" si="76"/>
        <v>7.4999999999999997E-3</v>
      </c>
      <c r="CE80" s="45">
        <f t="shared" si="77"/>
        <v>-6.0000000000000012E-2</v>
      </c>
      <c r="CF80" s="46">
        <f t="shared" si="78"/>
        <v>-2E-3</v>
      </c>
      <c r="CG80" s="45">
        <f t="shared" si="79"/>
        <v>0.01</v>
      </c>
      <c r="CH80" s="5"/>
      <c r="CI80" s="44">
        <f t="shared" si="80"/>
        <v>10</v>
      </c>
      <c r="CJ80" s="44">
        <f t="shared" si="81"/>
        <v>17.806478767306512</v>
      </c>
      <c r="CK80" s="44">
        <f t="shared" si="82"/>
        <v>24.031334517240559</v>
      </c>
      <c r="CL80" s="44">
        <f t="shared" si="83"/>
        <v>10</v>
      </c>
      <c r="CM80" s="44">
        <f t="shared" si="84"/>
        <v>5.9826495505160917</v>
      </c>
      <c r="CN80" s="47">
        <f t="shared" si="85"/>
        <v>0</v>
      </c>
      <c r="CO80" s="5"/>
      <c r="CP80" s="47">
        <f t="shared" si="86"/>
        <v>7.522964738236315E-3</v>
      </c>
      <c r="CQ80" s="47">
        <f t="shared" si="87"/>
        <v>5.7548590754798831E-2</v>
      </c>
      <c r="CR80" s="47">
        <f t="shared" si="88"/>
        <v>1.4781199289655667</v>
      </c>
      <c r="CS80" s="47">
        <f t="shared" si="89"/>
        <v>0.20000000000000018</v>
      </c>
      <c r="CT80" s="47">
        <f t="shared" si="90"/>
        <v>1.3173504494839087E-2</v>
      </c>
      <c r="CU80" s="47">
        <f t="shared" si="91"/>
        <v>1.7563649889534412</v>
      </c>
    </row>
    <row r="81" spans="1:99" ht="15" customHeight="1">
      <c r="A81" s="5"/>
      <c r="B81" s="37" t="s">
        <v>108</v>
      </c>
      <c r="C81" s="37" t="s">
        <v>252</v>
      </c>
      <c r="D81" s="37" t="s">
        <v>255</v>
      </c>
      <c r="E81" s="26">
        <v>42551</v>
      </c>
      <c r="F81" s="38">
        <f t="shared" si="71"/>
        <v>76.097972836903679</v>
      </c>
      <c r="G81" s="4">
        <f>1862940+1226277+311035+50000</f>
        <v>3450252</v>
      </c>
      <c r="H81" s="4">
        <f>3522380-2537458-723155</f>
        <v>261767</v>
      </c>
      <c r="I81" s="4">
        <v>15463972</v>
      </c>
      <c r="J81" s="4">
        <v>11941592</v>
      </c>
      <c r="K81" s="4">
        <v>2724607</v>
      </c>
      <c r="L81" s="4">
        <v>9283172</v>
      </c>
      <c r="M81" s="4">
        <v>48302</v>
      </c>
      <c r="N81" s="4">
        <v>177349</v>
      </c>
      <c r="O81" s="4">
        <v>640143</v>
      </c>
      <c r="P81" s="4">
        <f t="shared" ref="P81:P88" si="101">L81+M81+N81+O81</f>
        <v>10148966</v>
      </c>
      <c r="Q81" s="4">
        <v>9323010</v>
      </c>
      <c r="R81" s="4">
        <f t="shared" ref="R81:R93" si="102">P81-Q81</f>
        <v>825956</v>
      </c>
      <c r="S81" s="27">
        <v>10031540</v>
      </c>
      <c r="T81" s="27">
        <v>9683572</v>
      </c>
      <c r="U81" s="27">
        <v>10189686</v>
      </c>
      <c r="V81" s="27">
        <v>9691704</v>
      </c>
      <c r="W81" s="27">
        <v>210252</v>
      </c>
      <c r="X81" s="27">
        <v>723155</v>
      </c>
      <c r="Y81" s="27">
        <v>0</v>
      </c>
      <c r="Z81" s="27">
        <v>0</v>
      </c>
      <c r="AA81" s="27">
        <f>3260613-X81-Y81-Z81</f>
        <v>2537458</v>
      </c>
      <c r="AB81" s="27">
        <f t="shared" si="98"/>
        <v>3260613</v>
      </c>
      <c r="AC81" s="27"/>
      <c r="AD81" s="27"/>
      <c r="AE81" s="27"/>
      <c r="AF81" s="27"/>
      <c r="AG81" s="27"/>
      <c r="AH81" s="27"/>
      <c r="AI81" s="27"/>
      <c r="AJ81" s="26"/>
      <c r="AK81" s="49"/>
      <c r="AL81" s="49"/>
      <c r="AM81" s="49"/>
      <c r="AN81" s="49"/>
      <c r="AO81" s="49"/>
      <c r="AP81" s="49"/>
      <c r="AQ81" s="27"/>
      <c r="AR81" s="27"/>
      <c r="AS81" s="27">
        <v>0</v>
      </c>
      <c r="AT81" s="27">
        <v>0</v>
      </c>
      <c r="AU81" s="27">
        <v>0</v>
      </c>
      <c r="AV81" s="27">
        <v>198777</v>
      </c>
      <c r="AW81" s="27">
        <v>1352315</v>
      </c>
      <c r="AX81" s="27">
        <f t="shared" si="93"/>
        <v>1551092</v>
      </c>
      <c r="AY81" s="27">
        <v>50000</v>
      </c>
      <c r="AZ81" s="27">
        <v>104207</v>
      </c>
      <c r="BA81" s="27">
        <v>0</v>
      </c>
      <c r="BB81" s="27">
        <v>1441377</v>
      </c>
      <c r="BC81" s="27">
        <v>1352315</v>
      </c>
      <c r="BD81" s="27">
        <f t="shared" ref="BD81:BD93" si="103">SUM(AY81:BC81)</f>
        <v>2947899</v>
      </c>
      <c r="BE81" s="29">
        <f t="shared" si="72"/>
        <v>0</v>
      </c>
      <c r="BF81" s="29">
        <f t="shared" si="73"/>
        <v>0.16017766997550079</v>
      </c>
      <c r="BG81" s="29">
        <f t="shared" si="74"/>
        <v>0.32127538903963221</v>
      </c>
      <c r="BH81" s="42">
        <f>VLOOKUP(B81,Unemployment!$A$2:$F$193,6,0)</f>
        <v>-0.69999999999999973</v>
      </c>
      <c r="BI81" s="29">
        <f>VLOOKUP(B81,Zillow!$C$11:$R$193,16,0)</f>
        <v>4.0761684017024003E-3</v>
      </c>
      <c r="BJ81" s="5"/>
      <c r="BK81" s="6">
        <v>10</v>
      </c>
      <c r="BL81" s="6">
        <v>40</v>
      </c>
      <c r="BM81" s="6">
        <v>30</v>
      </c>
      <c r="BN81" s="6">
        <v>10</v>
      </c>
      <c r="BO81" s="6">
        <v>10</v>
      </c>
      <c r="BP81" s="5"/>
      <c r="BQ81" s="43">
        <v>0.2</v>
      </c>
      <c r="BR81" s="43">
        <v>0.02</v>
      </c>
      <c r="BS81" s="43">
        <v>2.2000000000000002</v>
      </c>
      <c r="BT81" s="44">
        <v>0.02</v>
      </c>
      <c r="BU81" s="43">
        <v>-7.0000000000000007E-2</v>
      </c>
      <c r="BV81" s="5"/>
      <c r="BW81" s="43">
        <v>0.05</v>
      </c>
      <c r="BX81" s="43">
        <v>0.32</v>
      </c>
      <c r="BY81" s="43">
        <v>0.4</v>
      </c>
      <c r="BZ81" s="44">
        <v>0</v>
      </c>
      <c r="CA81" s="43">
        <v>0.03</v>
      </c>
      <c r="CB81" s="5"/>
      <c r="CC81" s="45">
        <f t="shared" si="75"/>
        <v>-1.5000000000000003E-2</v>
      </c>
      <c r="CD81" s="45">
        <f t="shared" si="76"/>
        <v>7.4999999999999997E-3</v>
      </c>
      <c r="CE81" s="45">
        <f t="shared" si="77"/>
        <v>-6.0000000000000012E-2</v>
      </c>
      <c r="CF81" s="46">
        <f t="shared" si="78"/>
        <v>-2E-3</v>
      </c>
      <c r="CG81" s="45">
        <f t="shared" si="79"/>
        <v>0.01</v>
      </c>
      <c r="CH81" s="5"/>
      <c r="CI81" s="44">
        <f t="shared" si="80"/>
        <v>10</v>
      </c>
      <c r="CJ81" s="44">
        <f t="shared" si="81"/>
        <v>18.690355996733441</v>
      </c>
      <c r="CK81" s="44">
        <f t="shared" si="82"/>
        <v>30</v>
      </c>
      <c r="CL81" s="44">
        <f t="shared" si="83"/>
        <v>10</v>
      </c>
      <c r="CM81" s="44">
        <f t="shared" si="84"/>
        <v>7.40761684017024</v>
      </c>
      <c r="CN81" s="47">
        <f t="shared" si="85"/>
        <v>0</v>
      </c>
      <c r="CO81" s="5"/>
      <c r="CP81" s="47">
        <f t="shared" si="86"/>
        <v>7.5000000000000023E-3</v>
      </c>
      <c r="CQ81" s="47">
        <f t="shared" si="87"/>
        <v>6.4177669975500798E-2</v>
      </c>
      <c r="CR81" s="47">
        <f t="shared" si="88"/>
        <v>1.0412753890396325</v>
      </c>
      <c r="CS81" s="47">
        <f t="shared" si="89"/>
        <v>0.69999999999999973</v>
      </c>
      <c r="CT81" s="47">
        <f t="shared" si="90"/>
        <v>1.0761684017024007E-3</v>
      </c>
      <c r="CU81" s="47">
        <f t="shared" si="91"/>
        <v>1.8140292274168355</v>
      </c>
    </row>
    <row r="82" spans="1:99" ht="15" customHeight="1">
      <c r="A82" s="5"/>
      <c r="B82" s="37" t="s">
        <v>118</v>
      </c>
      <c r="C82" s="37" t="s">
        <v>252</v>
      </c>
      <c r="D82" s="37" t="s">
        <v>255</v>
      </c>
      <c r="E82" s="26">
        <v>42551</v>
      </c>
      <c r="F82" s="38">
        <f t="shared" si="71"/>
        <v>77.143873150519553</v>
      </c>
      <c r="G82" s="4">
        <f>149334139-92914910-23016049</f>
        <v>33403180</v>
      </c>
      <c r="H82" s="4">
        <f>51679148-45448443-3839183</f>
        <v>2391522</v>
      </c>
      <c r="I82" s="4">
        <v>149334139</v>
      </c>
      <c r="J82" s="4">
        <v>95485864</v>
      </c>
      <c r="K82" s="4">
        <v>5511697</v>
      </c>
      <c r="L82" s="4">
        <v>75720283</v>
      </c>
      <c r="M82" s="4">
        <v>3601337</v>
      </c>
      <c r="N82" s="4">
        <v>3555090</v>
      </c>
      <c r="O82" s="4">
        <v>9176493</v>
      </c>
      <c r="P82" s="4">
        <f t="shared" si="101"/>
        <v>92053203</v>
      </c>
      <c r="Q82" s="4">
        <v>88919781</v>
      </c>
      <c r="R82" s="4">
        <f t="shared" si="102"/>
        <v>3133422</v>
      </c>
      <c r="S82" s="27">
        <v>85404899</v>
      </c>
      <c r="T82" s="27">
        <v>79440167</v>
      </c>
      <c r="U82" s="27">
        <v>91450595</v>
      </c>
      <c r="V82" s="27">
        <v>90758328</v>
      </c>
      <c r="W82" s="27">
        <v>2136491</v>
      </c>
      <c r="X82" s="27">
        <v>3839183</v>
      </c>
      <c r="Y82" s="27">
        <v>12631464</v>
      </c>
      <c r="Z82" s="27">
        <v>4821470</v>
      </c>
      <c r="AA82" s="27">
        <f>49287626-X82-Y82-Z82</f>
        <v>27995509</v>
      </c>
      <c r="AB82" s="27">
        <f t="shared" si="98"/>
        <v>49287626</v>
      </c>
      <c r="AC82" s="27">
        <v>4821470</v>
      </c>
      <c r="AD82" s="27">
        <v>0</v>
      </c>
      <c r="AE82" s="27">
        <f>AC82+AD82</f>
        <v>4821470</v>
      </c>
      <c r="AF82" s="27">
        <v>0</v>
      </c>
      <c r="AG82" s="27">
        <v>1222583</v>
      </c>
      <c r="AH82" s="27">
        <v>1161041</v>
      </c>
      <c r="AI82" s="27">
        <v>608861</v>
      </c>
      <c r="AJ82" s="26">
        <v>42005</v>
      </c>
      <c r="AK82" s="39">
        <v>0</v>
      </c>
      <c r="AL82" s="53">
        <v>17046172</v>
      </c>
      <c r="AM82" s="39">
        <f>AL82-AK82</f>
        <v>17046172</v>
      </c>
      <c r="AN82" s="40">
        <f>AK82/AL82</f>
        <v>0</v>
      </c>
      <c r="AO82" s="40">
        <v>0.04</v>
      </c>
      <c r="AP82" s="40">
        <v>2.7E-2</v>
      </c>
      <c r="AQ82" s="27">
        <f>890486+514887+102856</f>
        <v>1508229</v>
      </c>
      <c r="AR82" s="27">
        <f>890486+526000+95956</f>
        <v>1512442</v>
      </c>
      <c r="AS82" s="27">
        <v>0</v>
      </c>
      <c r="AT82" s="27">
        <v>0</v>
      </c>
      <c r="AU82" s="27">
        <v>0</v>
      </c>
      <c r="AV82" s="27">
        <v>1692710</v>
      </c>
      <c r="AW82" s="27">
        <v>11221844</v>
      </c>
      <c r="AX82" s="27">
        <f t="shared" si="93"/>
        <v>12914554</v>
      </c>
      <c r="AY82" s="27">
        <v>22438</v>
      </c>
      <c r="AZ82" s="27">
        <v>1746200</v>
      </c>
      <c r="BA82" s="27">
        <v>5539308</v>
      </c>
      <c r="BB82" s="27">
        <v>2947729</v>
      </c>
      <c r="BC82" s="27">
        <v>11220912</v>
      </c>
      <c r="BD82" s="27">
        <f t="shared" si="103"/>
        <v>21476587</v>
      </c>
      <c r="BE82" s="29">
        <f t="shared" si="72"/>
        <v>1.6384318533707077E-2</v>
      </c>
      <c r="BF82" s="29">
        <f t="shared" si="73"/>
        <v>0.16256957264452881</v>
      </c>
      <c r="BG82" s="29">
        <f t="shared" si="74"/>
        <v>0.39820626339313797</v>
      </c>
      <c r="BH82" s="42">
        <f>VLOOKUP(B82,Unemployment!$A$2:$F$193,6,0)</f>
        <v>-0.39999999999999947</v>
      </c>
      <c r="BI82" s="29">
        <f>VLOOKUP(B82,Zillow!$C$11:$R$193,16,0)</f>
        <v>1.1345967979157037E-2</v>
      </c>
      <c r="BJ82" s="5"/>
      <c r="BK82" s="6">
        <v>10</v>
      </c>
      <c r="BL82" s="6">
        <v>40</v>
      </c>
      <c r="BM82" s="6">
        <v>30</v>
      </c>
      <c r="BN82" s="6">
        <v>10</v>
      </c>
      <c r="BO82" s="6">
        <v>10</v>
      </c>
      <c r="BP82" s="5"/>
      <c r="BQ82" s="43">
        <v>0.2</v>
      </c>
      <c r="BR82" s="43">
        <v>0.02</v>
      </c>
      <c r="BS82" s="43">
        <v>2.2000000000000002</v>
      </c>
      <c r="BT82" s="44">
        <v>0.02</v>
      </c>
      <c r="BU82" s="43">
        <v>-7.0000000000000007E-2</v>
      </c>
      <c r="BV82" s="5"/>
      <c r="BW82" s="43">
        <v>0.05</v>
      </c>
      <c r="BX82" s="43">
        <v>0.32</v>
      </c>
      <c r="BY82" s="43">
        <v>0.4</v>
      </c>
      <c r="BZ82" s="44">
        <v>0</v>
      </c>
      <c r="CA82" s="43">
        <v>0.03</v>
      </c>
      <c r="CB82" s="5"/>
      <c r="CC82" s="45">
        <f t="shared" si="75"/>
        <v>-1.5000000000000003E-2</v>
      </c>
      <c r="CD82" s="45">
        <f t="shared" si="76"/>
        <v>7.4999999999999997E-3</v>
      </c>
      <c r="CE82" s="45">
        <f t="shared" si="77"/>
        <v>-6.0000000000000012E-2</v>
      </c>
      <c r="CF82" s="46">
        <f t="shared" si="78"/>
        <v>-2E-3</v>
      </c>
      <c r="CG82" s="45">
        <f t="shared" si="79"/>
        <v>0.01</v>
      </c>
      <c r="CH82" s="5"/>
      <c r="CI82" s="44">
        <f t="shared" si="80"/>
        <v>10</v>
      </c>
      <c r="CJ82" s="44">
        <f t="shared" si="81"/>
        <v>19.009276352603845</v>
      </c>
      <c r="CK82" s="44">
        <f t="shared" si="82"/>
        <v>30</v>
      </c>
      <c r="CL82" s="44">
        <f t="shared" si="83"/>
        <v>10</v>
      </c>
      <c r="CM82" s="44">
        <f t="shared" si="84"/>
        <v>8.1345967979157034</v>
      </c>
      <c r="CN82" s="47">
        <f t="shared" si="85"/>
        <v>0</v>
      </c>
      <c r="CO82" s="5"/>
      <c r="CP82" s="47">
        <f t="shared" si="86"/>
        <v>2.388431853370708E-2</v>
      </c>
      <c r="CQ82" s="47">
        <f t="shared" si="87"/>
        <v>6.6569572644528827E-2</v>
      </c>
      <c r="CR82" s="47">
        <f t="shared" si="88"/>
        <v>1.1182062633931382</v>
      </c>
      <c r="CS82" s="47">
        <f t="shared" si="89"/>
        <v>0.39999999999999947</v>
      </c>
      <c r="CT82" s="47">
        <f t="shared" si="90"/>
        <v>8.3459679791570377E-3</v>
      </c>
      <c r="CU82" s="47">
        <f t="shared" si="91"/>
        <v>1.6170061225505308</v>
      </c>
    </row>
    <row r="83" spans="1:99" ht="15" customHeight="1">
      <c r="A83" s="5"/>
      <c r="B83" s="37" t="s">
        <v>60</v>
      </c>
      <c r="C83" s="37" t="s">
        <v>252</v>
      </c>
      <c r="D83" s="37" t="s">
        <v>255</v>
      </c>
      <c r="E83" s="26">
        <v>42551</v>
      </c>
      <c r="F83" s="38">
        <f t="shared" si="71"/>
        <v>69.002441028630528</v>
      </c>
      <c r="G83" s="4">
        <v>168284000</v>
      </c>
      <c r="H83" s="4">
        <v>74481000</v>
      </c>
      <c r="I83" s="4">
        <v>434190000</v>
      </c>
      <c r="J83" s="4">
        <v>134419000</v>
      </c>
      <c r="K83" s="4">
        <v>18099000</v>
      </c>
      <c r="L83" s="4">
        <v>155365000</v>
      </c>
      <c r="M83" s="4">
        <v>2295000</v>
      </c>
      <c r="N83" s="4">
        <v>36025000</v>
      </c>
      <c r="O83" s="4">
        <v>64083000</v>
      </c>
      <c r="P83" s="4">
        <f t="shared" si="101"/>
        <v>257768000</v>
      </c>
      <c r="Q83" s="4">
        <v>259613000</v>
      </c>
      <c r="R83" s="4">
        <f t="shared" si="102"/>
        <v>-1845000</v>
      </c>
      <c r="S83" s="27">
        <v>190982000</v>
      </c>
      <c r="T83" s="27">
        <v>184716000</v>
      </c>
      <c r="U83" s="27">
        <v>228834000</v>
      </c>
      <c r="V83" s="27">
        <v>234365000</v>
      </c>
      <c r="W83" s="27">
        <v>3395000</v>
      </c>
      <c r="X83" s="27">
        <v>17275000</v>
      </c>
      <c r="Y83" s="27">
        <v>62793000</v>
      </c>
      <c r="Z83" s="27">
        <v>37234000</v>
      </c>
      <c r="AA83" s="27">
        <v>123275000</v>
      </c>
      <c r="AB83" s="27">
        <v>240577000</v>
      </c>
      <c r="AC83" s="27">
        <v>37234000</v>
      </c>
      <c r="AD83" s="27">
        <v>0</v>
      </c>
      <c r="AE83" s="27">
        <v>37234000</v>
      </c>
      <c r="AF83" s="27">
        <v>0</v>
      </c>
      <c r="AG83" s="27">
        <v>16016000</v>
      </c>
      <c r="AH83" s="27">
        <v>16181000</v>
      </c>
      <c r="AI83" s="27">
        <v>9702000</v>
      </c>
      <c r="AJ83" s="26">
        <v>41821</v>
      </c>
      <c r="AK83" s="53">
        <v>256000</v>
      </c>
      <c r="AL83" s="53">
        <v>169347000</v>
      </c>
      <c r="AM83" s="53">
        <v>169091000</v>
      </c>
      <c r="AN83" s="40">
        <f>AK83/AL83</f>
        <v>1.5116890172249878E-3</v>
      </c>
      <c r="AO83" s="40">
        <v>7.2499999999999995E-2</v>
      </c>
      <c r="AP83" s="40">
        <v>2.7E-2</v>
      </c>
      <c r="AQ83" s="27">
        <v>6413000</v>
      </c>
      <c r="AR83" s="27">
        <v>6413000</v>
      </c>
      <c r="AS83" s="27">
        <v>22000</v>
      </c>
      <c r="AT83" s="27">
        <v>910000</v>
      </c>
      <c r="AU83" s="27">
        <v>2000</v>
      </c>
      <c r="AV83" s="27">
        <v>1180000</v>
      </c>
      <c r="AW83" s="27">
        <v>21892000</v>
      </c>
      <c r="AX83" s="27">
        <f t="shared" si="93"/>
        <v>24006000</v>
      </c>
      <c r="AY83" s="27">
        <v>85000</v>
      </c>
      <c r="AZ83" s="27">
        <v>9339000</v>
      </c>
      <c r="BA83" s="27">
        <v>5648000</v>
      </c>
      <c r="BB83" s="27">
        <v>1255000</v>
      </c>
      <c r="BC83" s="27">
        <v>21892000</v>
      </c>
      <c r="BD83" s="27">
        <f t="shared" si="103"/>
        <v>38219000</v>
      </c>
      <c r="BE83" s="29">
        <f t="shared" si="72"/>
        <v>2.4878960926104095E-2</v>
      </c>
      <c r="BF83" s="29">
        <f t="shared" si="73"/>
        <v>0.1299616708893653</v>
      </c>
      <c r="BG83" s="29">
        <f t="shared" si="74"/>
        <v>0.68970547158685325</v>
      </c>
      <c r="BH83" s="42">
        <f>VLOOKUP(B83,Unemployment!$A$2:$F$193,6,0)</f>
        <v>-0.59999999999999964</v>
      </c>
      <c r="BI83" s="29">
        <f>VLOOKUP(B83,Zillow!$C$11:$R$193,16,0)</f>
        <v>2.1693094364960485E-2</v>
      </c>
      <c r="BJ83" s="5"/>
      <c r="BK83" s="6">
        <v>10</v>
      </c>
      <c r="BL83" s="6">
        <v>40</v>
      </c>
      <c r="BM83" s="6">
        <v>30</v>
      </c>
      <c r="BN83" s="6">
        <v>10</v>
      </c>
      <c r="BO83" s="6">
        <v>10</v>
      </c>
      <c r="BP83" s="5"/>
      <c r="BQ83" s="43">
        <v>0.2</v>
      </c>
      <c r="BR83" s="43">
        <v>0.02</v>
      </c>
      <c r="BS83" s="43">
        <v>2.2000000000000002</v>
      </c>
      <c r="BT83" s="44">
        <v>0.02</v>
      </c>
      <c r="BU83" s="43">
        <v>-7.0000000000000007E-2</v>
      </c>
      <c r="BV83" s="5"/>
      <c r="BW83" s="43">
        <v>0.05</v>
      </c>
      <c r="BX83" s="43">
        <v>0.32</v>
      </c>
      <c r="BY83" s="43">
        <v>0.4</v>
      </c>
      <c r="BZ83" s="44">
        <v>0</v>
      </c>
      <c r="CA83" s="43">
        <v>0.03</v>
      </c>
      <c r="CB83" s="5"/>
      <c r="CC83" s="45">
        <f t="shared" si="75"/>
        <v>-1.5000000000000003E-2</v>
      </c>
      <c r="CD83" s="45">
        <f t="shared" si="76"/>
        <v>7.4999999999999997E-3</v>
      </c>
      <c r="CE83" s="45">
        <f t="shared" si="77"/>
        <v>-6.0000000000000012E-2</v>
      </c>
      <c r="CF83" s="46">
        <f t="shared" si="78"/>
        <v>-2E-3</v>
      </c>
      <c r="CG83" s="45">
        <f t="shared" si="79"/>
        <v>0.01</v>
      </c>
      <c r="CH83" s="5"/>
      <c r="CI83" s="44">
        <f t="shared" si="80"/>
        <v>10</v>
      </c>
      <c r="CJ83" s="44">
        <f t="shared" si="81"/>
        <v>14.661556118582041</v>
      </c>
      <c r="CK83" s="44">
        <f t="shared" si="82"/>
        <v>25.171575473552444</v>
      </c>
      <c r="CL83" s="44">
        <f t="shared" si="83"/>
        <v>10</v>
      </c>
      <c r="CM83" s="44">
        <f t="shared" si="84"/>
        <v>9.1693094364960501</v>
      </c>
      <c r="CN83" s="47">
        <f t="shared" si="85"/>
        <v>0</v>
      </c>
      <c r="CO83" s="5"/>
      <c r="CP83" s="47">
        <f t="shared" si="86"/>
        <v>3.2378960926104094E-2</v>
      </c>
      <c r="CQ83" s="47">
        <f t="shared" si="87"/>
        <v>3.3961670889365317E-2</v>
      </c>
      <c r="CR83" s="47">
        <f t="shared" si="88"/>
        <v>1.4097054715868533</v>
      </c>
      <c r="CS83" s="47">
        <f t="shared" si="89"/>
        <v>0.59999999999999964</v>
      </c>
      <c r="CT83" s="47">
        <f t="shared" si="90"/>
        <v>1.8693094364960486E-2</v>
      </c>
      <c r="CU83" s="47">
        <f t="shared" si="91"/>
        <v>2.0947391977672827</v>
      </c>
    </row>
    <row r="84" spans="1:99" ht="15" customHeight="1">
      <c r="A84" s="5"/>
      <c r="B84" s="37" t="s">
        <v>52</v>
      </c>
      <c r="C84" s="37" t="s">
        <v>252</v>
      </c>
      <c r="D84" s="37" t="s">
        <v>255</v>
      </c>
      <c r="E84" s="26">
        <v>42551</v>
      </c>
      <c r="F84" s="38">
        <f t="shared" si="71"/>
        <v>67.352397976811005</v>
      </c>
      <c r="G84" s="4">
        <v>19505953</v>
      </c>
      <c r="H84" s="4">
        <f>15452519-9842461-632362</f>
        <v>4977696</v>
      </c>
      <c r="I84" s="4">
        <v>111772542</v>
      </c>
      <c r="J84" s="4">
        <v>97706550</v>
      </c>
      <c r="K84" s="4">
        <v>7679618</v>
      </c>
      <c r="L84" s="4">
        <v>38043757</v>
      </c>
      <c r="M84" s="4">
        <v>2978159</v>
      </c>
      <c r="N84" s="4">
        <v>7188670</v>
      </c>
      <c r="O84" s="4">
        <v>15099156</v>
      </c>
      <c r="P84" s="4">
        <f t="shared" si="101"/>
        <v>63309742</v>
      </c>
      <c r="Q84" s="4">
        <v>59841146</v>
      </c>
      <c r="R84" s="4">
        <f t="shared" si="102"/>
        <v>3468596</v>
      </c>
      <c r="S84" s="27">
        <v>51188126</v>
      </c>
      <c r="T84" s="27">
        <v>47829183</v>
      </c>
      <c r="U84" s="27">
        <v>60182708</v>
      </c>
      <c r="V84" s="27">
        <v>58847558</v>
      </c>
      <c r="W84" s="27">
        <v>447047</v>
      </c>
      <c r="X84" s="27">
        <f>625762-6600</f>
        <v>619162</v>
      </c>
      <c r="Y84" s="27">
        <v>6139144</v>
      </c>
      <c r="Z84" s="27">
        <v>0</v>
      </c>
      <c r="AA84" s="27">
        <f>10385834+88989-X84-Y84-Z84</f>
        <v>3716517</v>
      </c>
      <c r="AB84" s="27">
        <f t="shared" ref="AB84:AB94" si="104">X84+Y84+Z84+AA84</f>
        <v>10474823</v>
      </c>
      <c r="AC84" s="27">
        <v>-15210</v>
      </c>
      <c r="AD84" s="27">
        <v>0</v>
      </c>
      <c r="AE84" s="27">
        <f>AC84+AD84</f>
        <v>-15210</v>
      </c>
      <c r="AF84" s="27">
        <v>0</v>
      </c>
      <c r="AG84" s="27">
        <v>331431</v>
      </c>
      <c r="AH84" s="27">
        <v>331893</v>
      </c>
      <c r="AI84" s="27">
        <v>331774</v>
      </c>
      <c r="AJ84" s="26">
        <v>41821</v>
      </c>
      <c r="AK84" s="39">
        <v>458039</v>
      </c>
      <c r="AL84" s="39">
        <v>2872658</v>
      </c>
      <c r="AM84" s="39">
        <f>AL84-AK84</f>
        <v>2414619</v>
      </c>
      <c r="AN84" s="40">
        <f>AK84/AL84</f>
        <v>0.15944780060835645</v>
      </c>
      <c r="AO84" s="40">
        <v>6.7500000000000004E-2</v>
      </c>
      <c r="AP84" s="40">
        <v>2.7E-2</v>
      </c>
      <c r="AQ84" s="27">
        <v>1339165</v>
      </c>
      <c r="AR84" s="27">
        <v>1339165</v>
      </c>
      <c r="AS84" s="27">
        <v>0</v>
      </c>
      <c r="AT84" s="27">
        <v>0</v>
      </c>
      <c r="AU84" s="27">
        <v>0</v>
      </c>
      <c r="AV84" s="27">
        <v>202139</v>
      </c>
      <c r="AW84" s="27">
        <v>4186090</v>
      </c>
      <c r="AX84" s="27">
        <f t="shared" si="93"/>
        <v>4388229</v>
      </c>
      <c r="AY84" s="27">
        <v>18303</v>
      </c>
      <c r="AZ84" s="27">
        <v>13996347</v>
      </c>
      <c r="BA84" s="27">
        <v>1522827</v>
      </c>
      <c r="BB84" s="27">
        <v>202139</v>
      </c>
      <c r="BC84" s="27">
        <v>-7967243</v>
      </c>
      <c r="BD84" s="27">
        <f t="shared" si="103"/>
        <v>7772373</v>
      </c>
      <c r="BE84" s="29">
        <f t="shared" si="72"/>
        <v>2.1152589754669986E-2</v>
      </c>
      <c r="BF84" s="29">
        <f t="shared" si="73"/>
        <v>9.1747939746326002E-2</v>
      </c>
      <c r="BG84" s="29">
        <f t="shared" si="74"/>
        <v>6.8483599253966312E-2</v>
      </c>
      <c r="BH84" s="42">
        <f>VLOOKUP(B84,Unemployment!$A$2:$F$193,6,0)</f>
        <v>-0.40000000000000036</v>
      </c>
      <c r="BI84" s="52">
        <f>VLOOKUP(VLOOKUP(B84,Counties!$A$20:$E$189,2,0),Zillow!$C$3:$R$10,16,0)</f>
        <v>7.8600601063419911E-3</v>
      </c>
      <c r="BJ84" s="5"/>
      <c r="BK84" s="6">
        <v>10</v>
      </c>
      <c r="BL84" s="6">
        <v>40</v>
      </c>
      <c r="BM84" s="6">
        <v>30</v>
      </c>
      <c r="BN84" s="6">
        <v>10</v>
      </c>
      <c r="BO84" s="6">
        <v>10</v>
      </c>
      <c r="BP84" s="5"/>
      <c r="BQ84" s="43">
        <v>0.2</v>
      </c>
      <c r="BR84" s="43">
        <v>0.02</v>
      </c>
      <c r="BS84" s="43">
        <v>2.2000000000000002</v>
      </c>
      <c r="BT84" s="44">
        <v>0.02</v>
      </c>
      <c r="BU84" s="43">
        <v>-7.0000000000000007E-2</v>
      </c>
      <c r="BV84" s="5"/>
      <c r="BW84" s="43">
        <v>0.05</v>
      </c>
      <c r="BX84" s="43">
        <v>0.32</v>
      </c>
      <c r="BY84" s="43">
        <v>0.4</v>
      </c>
      <c r="BZ84" s="44">
        <v>0</v>
      </c>
      <c r="CA84" s="43">
        <v>0.03</v>
      </c>
      <c r="CB84" s="5"/>
      <c r="CC84" s="45">
        <f t="shared" si="75"/>
        <v>-1.5000000000000003E-2</v>
      </c>
      <c r="CD84" s="45">
        <f t="shared" si="76"/>
        <v>7.4999999999999997E-3</v>
      </c>
      <c r="CE84" s="45">
        <f t="shared" si="77"/>
        <v>-6.0000000000000012E-2</v>
      </c>
      <c r="CF84" s="46">
        <f t="shared" si="78"/>
        <v>-2E-3</v>
      </c>
      <c r="CG84" s="45">
        <f t="shared" si="79"/>
        <v>0.01</v>
      </c>
      <c r="CH84" s="5"/>
      <c r="CI84" s="44">
        <f t="shared" si="80"/>
        <v>10</v>
      </c>
      <c r="CJ84" s="44">
        <f t="shared" si="81"/>
        <v>9.5663919661768002</v>
      </c>
      <c r="CK84" s="44">
        <f t="shared" si="82"/>
        <v>30</v>
      </c>
      <c r="CL84" s="44">
        <f t="shared" si="83"/>
        <v>10</v>
      </c>
      <c r="CM84" s="44">
        <f t="shared" si="84"/>
        <v>7.7860060106341997</v>
      </c>
      <c r="CN84" s="47">
        <f t="shared" si="85"/>
        <v>0</v>
      </c>
      <c r="CO84" s="5"/>
      <c r="CP84" s="47">
        <f t="shared" si="86"/>
        <v>2.8652589754669989E-2</v>
      </c>
      <c r="CQ84" s="47">
        <f t="shared" si="87"/>
        <v>4.2520602536739865E-3</v>
      </c>
      <c r="CR84" s="47">
        <f t="shared" si="88"/>
        <v>0.78848359925396649</v>
      </c>
      <c r="CS84" s="47">
        <f t="shared" si="89"/>
        <v>0.40000000000000036</v>
      </c>
      <c r="CT84" s="47">
        <f t="shared" si="90"/>
        <v>4.8600601063419919E-3</v>
      </c>
      <c r="CU84" s="47">
        <f t="shared" si="91"/>
        <v>1.2262483093686529</v>
      </c>
    </row>
    <row r="85" spans="1:99" ht="15" customHeight="1">
      <c r="A85" s="5"/>
      <c r="B85" s="37" t="s">
        <v>46</v>
      </c>
      <c r="C85" s="37" t="s">
        <v>252</v>
      </c>
      <c r="D85" s="37" t="s">
        <v>255</v>
      </c>
      <c r="E85" s="26">
        <v>42551</v>
      </c>
      <c r="F85" s="38">
        <f t="shared" si="71"/>
        <v>66.829293761445513</v>
      </c>
      <c r="G85" s="4">
        <f>4480740+4921196+2801</f>
        <v>9404737</v>
      </c>
      <c r="H85" s="4">
        <f>16501747-13099533-1795286</f>
        <v>1606928</v>
      </c>
      <c r="I85" s="4">
        <v>55598840</v>
      </c>
      <c r="J85" s="4">
        <v>39220301</v>
      </c>
      <c r="K85" s="4">
        <v>6798528</v>
      </c>
      <c r="L85" s="4">
        <v>19283023</v>
      </c>
      <c r="M85" s="4">
        <v>596680</v>
      </c>
      <c r="N85" s="4">
        <v>1842246</v>
      </c>
      <c r="O85" s="4">
        <v>4468428</v>
      </c>
      <c r="P85" s="4">
        <f t="shared" si="101"/>
        <v>26190377</v>
      </c>
      <c r="Q85" s="4">
        <v>23674463</v>
      </c>
      <c r="R85" s="4">
        <f t="shared" si="102"/>
        <v>2515914</v>
      </c>
      <c r="S85" s="27">
        <v>23610632</v>
      </c>
      <c r="T85" s="27">
        <v>23303458</v>
      </c>
      <c r="U85" s="27">
        <v>25491494</v>
      </c>
      <c r="V85" s="27">
        <v>25993947</v>
      </c>
      <c r="W85" s="27">
        <v>-13294</v>
      </c>
      <c r="X85" s="27">
        <v>1795286</v>
      </c>
      <c r="Y85" s="27">
        <v>0</v>
      </c>
      <c r="Z85" s="27">
        <v>685000</v>
      </c>
      <c r="AA85" s="27">
        <f>14894819-X85-Y85-Z85</f>
        <v>12414533</v>
      </c>
      <c r="AB85" s="27">
        <f t="shared" si="104"/>
        <v>14894819</v>
      </c>
      <c r="AC85" s="27">
        <v>685000</v>
      </c>
      <c r="AD85" s="27">
        <v>0</v>
      </c>
      <c r="AE85" s="27">
        <f>AC85+AD85</f>
        <v>685000</v>
      </c>
      <c r="AF85" s="27">
        <v>0</v>
      </c>
      <c r="AG85" s="27">
        <v>71000</v>
      </c>
      <c r="AH85" s="27">
        <v>61000</v>
      </c>
      <c r="AI85" s="27">
        <v>29000</v>
      </c>
      <c r="AJ85" s="26">
        <v>41821</v>
      </c>
      <c r="AK85" s="39">
        <v>0</v>
      </c>
      <c r="AL85" s="39">
        <v>783000</v>
      </c>
      <c r="AM85" s="39">
        <f>AL85-AK85</f>
        <v>783000</v>
      </c>
      <c r="AN85" s="40">
        <f>AK85/AL85</f>
        <v>0</v>
      </c>
      <c r="AO85" s="40">
        <v>0.04</v>
      </c>
      <c r="AP85" s="49"/>
      <c r="AQ85" s="27"/>
      <c r="AR85" s="27"/>
      <c r="AS85" s="27">
        <v>0</v>
      </c>
      <c r="AT85" s="27">
        <v>0</v>
      </c>
      <c r="AU85" s="27">
        <v>0</v>
      </c>
      <c r="AV85" s="27">
        <v>502638</v>
      </c>
      <c r="AW85" s="27">
        <v>2014034</v>
      </c>
      <c r="AX85" s="27">
        <f t="shared" si="93"/>
        <v>2516672</v>
      </c>
      <c r="AY85" s="27">
        <v>2801</v>
      </c>
      <c r="AZ85" s="27">
        <v>574854</v>
      </c>
      <c r="BA85" s="27">
        <v>3296226</v>
      </c>
      <c r="BB85" s="27">
        <v>502638</v>
      </c>
      <c r="BC85" s="27">
        <v>-1285119</v>
      </c>
      <c r="BD85" s="27">
        <f t="shared" si="103"/>
        <v>3091400</v>
      </c>
      <c r="BE85" s="29">
        <f t="shared" si="72"/>
        <v>0</v>
      </c>
      <c r="BF85" s="29">
        <f t="shared" si="73"/>
        <v>0.10799564596807908</v>
      </c>
      <c r="BG85" s="29">
        <f t="shared" si="74"/>
        <v>0.56871342478193421</v>
      </c>
      <c r="BH85" s="42">
        <f>VLOOKUP(B85,Unemployment!$A$2:$F$193,6,0)</f>
        <v>-0.70000000000000018</v>
      </c>
      <c r="BI85" s="29">
        <f>VLOOKUP(B85,Zillow!$C$11:$R$193,16,0)</f>
        <v>9.0843137873387377E-3</v>
      </c>
      <c r="BJ85" s="5"/>
      <c r="BK85" s="6">
        <v>10</v>
      </c>
      <c r="BL85" s="6">
        <v>40</v>
      </c>
      <c r="BM85" s="6">
        <v>30</v>
      </c>
      <c r="BN85" s="6">
        <v>10</v>
      </c>
      <c r="BO85" s="6">
        <v>10</v>
      </c>
      <c r="BP85" s="5"/>
      <c r="BQ85" s="43">
        <v>0.2</v>
      </c>
      <c r="BR85" s="43">
        <v>0.02</v>
      </c>
      <c r="BS85" s="43">
        <v>2.2000000000000002</v>
      </c>
      <c r="BT85" s="44">
        <v>0.02</v>
      </c>
      <c r="BU85" s="43">
        <v>-7.0000000000000007E-2</v>
      </c>
      <c r="BV85" s="5"/>
      <c r="BW85" s="43">
        <v>0.05</v>
      </c>
      <c r="BX85" s="43">
        <v>0.32</v>
      </c>
      <c r="BY85" s="43">
        <v>0.4</v>
      </c>
      <c r="BZ85" s="44">
        <v>0</v>
      </c>
      <c r="CA85" s="43">
        <v>0.03</v>
      </c>
      <c r="CB85" s="5"/>
      <c r="CC85" s="45">
        <f t="shared" si="75"/>
        <v>-1.5000000000000003E-2</v>
      </c>
      <c r="CD85" s="45">
        <f t="shared" si="76"/>
        <v>7.4999999999999997E-3</v>
      </c>
      <c r="CE85" s="45">
        <f t="shared" si="77"/>
        <v>-6.0000000000000012E-2</v>
      </c>
      <c r="CF85" s="46">
        <f t="shared" si="78"/>
        <v>-2E-3</v>
      </c>
      <c r="CG85" s="45">
        <f t="shared" si="79"/>
        <v>0.01</v>
      </c>
      <c r="CH85" s="5"/>
      <c r="CI85" s="44">
        <f t="shared" si="80"/>
        <v>10</v>
      </c>
      <c r="CJ85" s="44">
        <f t="shared" si="81"/>
        <v>11.732752795743878</v>
      </c>
      <c r="CK85" s="44">
        <f t="shared" si="82"/>
        <v>27.188109586967759</v>
      </c>
      <c r="CL85" s="44">
        <f t="shared" si="83"/>
        <v>10</v>
      </c>
      <c r="CM85" s="44">
        <f t="shared" si="84"/>
        <v>7.9084313787338738</v>
      </c>
      <c r="CN85" s="47">
        <f t="shared" si="85"/>
        <v>0</v>
      </c>
      <c r="CO85" s="5"/>
      <c r="CP85" s="47">
        <f t="shared" si="86"/>
        <v>7.5000000000000023E-3</v>
      </c>
      <c r="CQ85" s="47">
        <f t="shared" si="87"/>
        <v>1.1995645968079088E-2</v>
      </c>
      <c r="CR85" s="47">
        <f t="shared" si="88"/>
        <v>1.2887134247819345</v>
      </c>
      <c r="CS85" s="47">
        <f t="shared" si="89"/>
        <v>0.70000000000000018</v>
      </c>
      <c r="CT85" s="47">
        <f t="shared" si="90"/>
        <v>6.0843137873387385E-3</v>
      </c>
      <c r="CU85" s="47">
        <f t="shared" si="91"/>
        <v>2.0142933845373525</v>
      </c>
    </row>
    <row r="86" spans="1:99" ht="15" customHeight="1">
      <c r="A86" s="5"/>
      <c r="B86" s="37" t="s">
        <v>15</v>
      </c>
      <c r="C86" s="37" t="s">
        <v>252</v>
      </c>
      <c r="D86" s="37" t="s">
        <v>258</v>
      </c>
      <c r="E86" s="26">
        <v>42551</v>
      </c>
      <c r="F86" s="38">
        <f t="shared" si="71"/>
        <v>58.499584533675041</v>
      </c>
      <c r="G86" s="4">
        <f>610469478-290599558-228946488</f>
        <v>90923432</v>
      </c>
      <c r="H86" s="4">
        <f>448494630-395224361-18217931</f>
        <v>35052338</v>
      </c>
      <c r="I86" s="4">
        <v>610469478</v>
      </c>
      <c r="J86" s="4">
        <v>190598139</v>
      </c>
      <c r="K86" s="4">
        <v>-177628921</v>
      </c>
      <c r="L86" s="4">
        <v>127109928</v>
      </c>
      <c r="M86" s="4">
        <v>50013519</v>
      </c>
      <c r="N86" s="4">
        <v>26056010</v>
      </c>
      <c r="O86" s="4">
        <v>104643562</v>
      </c>
      <c r="P86" s="4">
        <f t="shared" si="101"/>
        <v>307823019</v>
      </c>
      <c r="Q86" s="4">
        <v>277026438</v>
      </c>
      <c r="R86" s="4">
        <f t="shared" si="102"/>
        <v>30796581</v>
      </c>
      <c r="S86" s="27">
        <v>204458399</v>
      </c>
      <c r="T86" s="27">
        <v>206667322</v>
      </c>
      <c r="U86" s="27">
        <v>284963857</v>
      </c>
      <c r="V86" s="27">
        <v>319739048</v>
      </c>
      <c r="W86" s="27">
        <v>476725</v>
      </c>
      <c r="X86" s="27">
        <f>14153665+4064266</f>
        <v>18217931</v>
      </c>
      <c r="Y86" s="27">
        <v>149696407</v>
      </c>
      <c r="Z86" s="27">
        <f>45514635+1956777</f>
        <v>47471412</v>
      </c>
      <c r="AA86" s="27">
        <f>347842296+65599996-X86-Y86-Z86</f>
        <v>198056542</v>
      </c>
      <c r="AB86" s="27">
        <f t="shared" si="104"/>
        <v>413442292</v>
      </c>
      <c r="AC86" s="27">
        <v>47471412</v>
      </c>
      <c r="AD86" s="27">
        <v>0</v>
      </c>
      <c r="AE86" s="27">
        <f>AC86+AD86</f>
        <v>47471412</v>
      </c>
      <c r="AF86" s="27">
        <v>0</v>
      </c>
      <c r="AG86" s="27">
        <v>7513565</v>
      </c>
      <c r="AH86" s="27">
        <v>7413486</v>
      </c>
      <c r="AI86" s="27">
        <v>4683520</v>
      </c>
      <c r="AJ86" s="26">
        <v>41821</v>
      </c>
      <c r="AK86" s="39">
        <v>20830636</v>
      </c>
      <c r="AL86" s="39">
        <v>89516332</v>
      </c>
      <c r="AM86" s="39">
        <f>AL86-AK86</f>
        <v>68685696</v>
      </c>
      <c r="AN86" s="40">
        <v>0.23300000000000001</v>
      </c>
      <c r="AO86" s="40">
        <v>0.08</v>
      </c>
      <c r="AP86" s="41">
        <v>0.03</v>
      </c>
      <c r="AQ86" s="27">
        <f>3218884+4441422+3040690</f>
        <v>10700996</v>
      </c>
      <c r="AR86" s="27">
        <f>3264731+4441422+3040690</f>
        <v>10746843</v>
      </c>
      <c r="AS86" s="27">
        <v>137144</v>
      </c>
      <c r="AT86" s="27">
        <v>942660</v>
      </c>
      <c r="AU86" s="27">
        <v>400699</v>
      </c>
      <c r="AV86" s="27">
        <v>0</v>
      </c>
      <c r="AW86" s="27">
        <v>16664792</v>
      </c>
      <c r="AX86" s="27">
        <f t="shared" si="93"/>
        <v>18145295</v>
      </c>
      <c r="AY86" s="27">
        <v>628301</v>
      </c>
      <c r="AZ86" s="27">
        <v>4760235</v>
      </c>
      <c r="BA86" s="27">
        <v>2685266</v>
      </c>
      <c r="BB86" s="27">
        <v>0</v>
      </c>
      <c r="BC86" s="27">
        <v>16335403</v>
      </c>
      <c r="BD86" s="27">
        <f t="shared" si="103"/>
        <v>24409205</v>
      </c>
      <c r="BE86" s="29">
        <f t="shared" si="72"/>
        <v>3.4763469069868359E-2</v>
      </c>
      <c r="BF86" s="29">
        <f t="shared" si="73"/>
        <v>8.7799536106632284E-2</v>
      </c>
      <c r="BG86" s="29">
        <f t="shared" si="74"/>
        <v>0.85681014323363514</v>
      </c>
      <c r="BH86" s="42">
        <f>VLOOKUP(B86,Unemployment!$A$2:$F$193,6,0)</f>
        <v>-1</v>
      </c>
      <c r="BI86" s="29">
        <f>VLOOKUP(B86,Zillow!$C$11:$R$193,16,0)</f>
        <v>7.3148773351326083E-4</v>
      </c>
      <c r="BJ86" s="5"/>
      <c r="BK86" s="6">
        <v>10</v>
      </c>
      <c r="BL86" s="6">
        <v>40</v>
      </c>
      <c r="BM86" s="6">
        <v>30</v>
      </c>
      <c r="BN86" s="6">
        <v>10</v>
      </c>
      <c r="BO86" s="6">
        <v>10</v>
      </c>
      <c r="BP86" s="5"/>
      <c r="BQ86" s="43">
        <v>0.2</v>
      </c>
      <c r="BR86" s="43">
        <v>0.02</v>
      </c>
      <c r="BS86" s="43">
        <v>2.2000000000000002</v>
      </c>
      <c r="BT86" s="44">
        <v>0.02</v>
      </c>
      <c r="BU86" s="43">
        <v>-7.0000000000000007E-2</v>
      </c>
      <c r="BV86" s="5"/>
      <c r="BW86" s="43">
        <v>0.05</v>
      </c>
      <c r="BX86" s="43">
        <v>0.32</v>
      </c>
      <c r="BY86" s="43">
        <v>0.4</v>
      </c>
      <c r="BZ86" s="44">
        <v>0</v>
      </c>
      <c r="CA86" s="43">
        <v>0.03</v>
      </c>
      <c r="CB86" s="5"/>
      <c r="CC86" s="45">
        <f t="shared" si="75"/>
        <v>-1.5000000000000003E-2</v>
      </c>
      <c r="CD86" s="45">
        <f t="shared" si="76"/>
        <v>7.4999999999999997E-3</v>
      </c>
      <c r="CE86" s="45">
        <f t="shared" si="77"/>
        <v>-6.0000000000000012E-2</v>
      </c>
      <c r="CF86" s="46">
        <f t="shared" si="78"/>
        <v>-2E-3</v>
      </c>
      <c r="CG86" s="45">
        <f t="shared" si="79"/>
        <v>0.01</v>
      </c>
      <c r="CH86" s="5"/>
      <c r="CI86" s="44">
        <f t="shared" si="80"/>
        <v>10</v>
      </c>
      <c r="CJ86" s="44">
        <f t="shared" si="81"/>
        <v>9.0399381475509717</v>
      </c>
      <c r="CK86" s="44">
        <f t="shared" si="82"/>
        <v>22.386497612772747</v>
      </c>
      <c r="CL86" s="44">
        <f t="shared" si="83"/>
        <v>10</v>
      </c>
      <c r="CM86" s="44">
        <f t="shared" si="84"/>
        <v>7.0731487733513276</v>
      </c>
      <c r="CN86" s="47">
        <f t="shared" si="85"/>
        <v>0</v>
      </c>
      <c r="CO86" s="5"/>
      <c r="CP86" s="47">
        <f t="shared" si="86"/>
        <v>4.2263469069868359E-2</v>
      </c>
      <c r="CQ86" s="47">
        <f t="shared" si="87"/>
        <v>8.2004638933677043E-3</v>
      </c>
      <c r="CR86" s="47">
        <f t="shared" si="88"/>
        <v>1.5768101432336352</v>
      </c>
      <c r="CS86" s="47">
        <f t="shared" si="89"/>
        <v>1</v>
      </c>
      <c r="CT86" s="47">
        <f t="shared" si="90"/>
        <v>2.2685122664867388E-3</v>
      </c>
      <c r="CU86" s="47">
        <f t="shared" si="91"/>
        <v>2.6295425884633583</v>
      </c>
    </row>
    <row r="87" spans="1:99" ht="15" customHeight="1">
      <c r="A87" s="5"/>
      <c r="B87" s="37" t="s">
        <v>72</v>
      </c>
      <c r="C87" s="37" t="s">
        <v>252</v>
      </c>
      <c r="D87" s="37" t="s">
        <v>255</v>
      </c>
      <c r="E87" s="26">
        <v>42551</v>
      </c>
      <c r="F87" s="38">
        <f t="shared" si="71"/>
        <v>70.80253493594418</v>
      </c>
      <c r="G87" s="4">
        <f>58673811-36852293-8174654</f>
        <v>13646864</v>
      </c>
      <c r="H87" s="4">
        <f>16094745-14073201-688370</f>
        <v>1333174</v>
      </c>
      <c r="I87" s="4">
        <v>58673811</v>
      </c>
      <c r="J87" s="4">
        <v>41625915</v>
      </c>
      <c r="K87" s="4">
        <v>2979829</v>
      </c>
      <c r="L87" s="4">
        <v>29229076</v>
      </c>
      <c r="M87" s="4">
        <v>84264</v>
      </c>
      <c r="N87" s="4">
        <v>3176104</v>
      </c>
      <c r="O87" s="4">
        <v>1084704</v>
      </c>
      <c r="P87" s="4">
        <f t="shared" si="101"/>
        <v>33574148</v>
      </c>
      <c r="Q87" s="4">
        <v>34097485</v>
      </c>
      <c r="R87" s="4">
        <f t="shared" si="102"/>
        <v>-523337</v>
      </c>
      <c r="S87" s="27">
        <v>31015494</v>
      </c>
      <c r="T87" s="27">
        <v>30436406</v>
      </c>
      <c r="U87" s="27">
        <v>33630397</v>
      </c>
      <c r="V87" s="27">
        <v>32487202</v>
      </c>
      <c r="W87" s="27">
        <v>478147</v>
      </c>
      <c r="X87" s="27">
        <v>688370</v>
      </c>
      <c r="Y87" s="27">
        <v>5432890</v>
      </c>
      <c r="Z87" s="27">
        <v>2646523</v>
      </c>
      <c r="AA87" s="27">
        <f>14761571-X87-Y87-Z87</f>
        <v>5993788</v>
      </c>
      <c r="AB87" s="27">
        <f t="shared" si="104"/>
        <v>14761571</v>
      </c>
      <c r="AC87" s="27">
        <v>2646523</v>
      </c>
      <c r="AD87" s="27">
        <v>0</v>
      </c>
      <c r="AE87" s="27">
        <f>AC87+AD87</f>
        <v>2646523</v>
      </c>
      <c r="AF87" s="27">
        <v>0</v>
      </c>
      <c r="AG87" s="27">
        <v>652901</v>
      </c>
      <c r="AH87" s="27">
        <v>660908</v>
      </c>
      <c r="AI87" s="27">
        <v>288610</v>
      </c>
      <c r="AJ87" s="26">
        <v>42186</v>
      </c>
      <c r="AK87" s="39">
        <v>0</v>
      </c>
      <c r="AL87" s="39">
        <v>10911703</v>
      </c>
      <c r="AM87" s="39">
        <f>AL87-AK87</f>
        <v>10911703</v>
      </c>
      <c r="AN87" s="40">
        <f>AK87/AL87</f>
        <v>0</v>
      </c>
      <c r="AO87" s="49"/>
      <c r="AP87" s="49"/>
      <c r="AQ87" s="27">
        <v>512913</v>
      </c>
      <c r="AR87" s="27">
        <v>512913</v>
      </c>
      <c r="AS87" s="27">
        <v>52988</v>
      </c>
      <c r="AT87" s="27">
        <v>0</v>
      </c>
      <c r="AU87" s="27">
        <v>0</v>
      </c>
      <c r="AV87" s="27">
        <v>0</v>
      </c>
      <c r="AW87" s="27">
        <v>4053108</v>
      </c>
      <c r="AX87" s="27">
        <f t="shared" si="93"/>
        <v>4106096</v>
      </c>
      <c r="AY87" s="27">
        <v>52988</v>
      </c>
      <c r="AZ87" s="27">
        <v>1380670</v>
      </c>
      <c r="BA87" s="27">
        <v>2184575</v>
      </c>
      <c r="BB87" s="27">
        <v>0</v>
      </c>
      <c r="BC87" s="27">
        <v>2715144</v>
      </c>
      <c r="BD87" s="27">
        <f t="shared" si="103"/>
        <v>6333377</v>
      </c>
      <c r="BE87" s="29">
        <f t="shared" si="72"/>
        <v>1.5277022070671756E-2</v>
      </c>
      <c r="BF87" s="29">
        <f t="shared" si="73"/>
        <v>0.13490738689712575</v>
      </c>
      <c r="BG87" s="29">
        <f t="shared" si="74"/>
        <v>0.2778530969721108</v>
      </c>
      <c r="BH87" s="42">
        <f>VLOOKUP(B87,Unemployment!$A$2:$F$193,6,0)</f>
        <v>-0.50000000000000044</v>
      </c>
      <c r="BI87" s="29">
        <f>VLOOKUP(B87,Zillow!$C$11:$R$193,16,0)</f>
        <v>-1.5184499836725809E-2</v>
      </c>
      <c r="BJ87" s="5"/>
      <c r="BK87" s="6">
        <v>10</v>
      </c>
      <c r="BL87" s="6">
        <v>40</v>
      </c>
      <c r="BM87" s="6">
        <v>30</v>
      </c>
      <c r="BN87" s="6">
        <v>10</v>
      </c>
      <c r="BO87" s="6">
        <v>10</v>
      </c>
      <c r="BP87" s="5"/>
      <c r="BQ87" s="43">
        <v>0.2</v>
      </c>
      <c r="BR87" s="43">
        <v>0.02</v>
      </c>
      <c r="BS87" s="43">
        <v>2.2000000000000002</v>
      </c>
      <c r="BT87" s="44">
        <v>0.02</v>
      </c>
      <c r="BU87" s="43">
        <v>-7.0000000000000007E-2</v>
      </c>
      <c r="BV87" s="5"/>
      <c r="BW87" s="43">
        <v>0.05</v>
      </c>
      <c r="BX87" s="43">
        <v>0.32</v>
      </c>
      <c r="BY87" s="43">
        <v>0.4</v>
      </c>
      <c r="BZ87" s="44">
        <v>0</v>
      </c>
      <c r="CA87" s="43">
        <v>0.03</v>
      </c>
      <c r="CB87" s="5"/>
      <c r="CC87" s="45">
        <f t="shared" si="75"/>
        <v>-1.5000000000000003E-2</v>
      </c>
      <c r="CD87" s="45">
        <f t="shared" si="76"/>
        <v>7.4999999999999997E-3</v>
      </c>
      <c r="CE87" s="45">
        <f t="shared" si="77"/>
        <v>-6.0000000000000012E-2</v>
      </c>
      <c r="CF87" s="46">
        <f t="shared" si="78"/>
        <v>-2E-3</v>
      </c>
      <c r="CG87" s="45">
        <f t="shared" si="79"/>
        <v>0.01</v>
      </c>
      <c r="CH87" s="5"/>
      <c r="CI87" s="44">
        <f t="shared" si="80"/>
        <v>10</v>
      </c>
      <c r="CJ87" s="44">
        <f t="shared" si="81"/>
        <v>15.320984919616768</v>
      </c>
      <c r="CK87" s="44">
        <f t="shared" si="82"/>
        <v>30</v>
      </c>
      <c r="CL87" s="44">
        <f t="shared" si="83"/>
        <v>10</v>
      </c>
      <c r="CM87" s="44">
        <f t="shared" si="84"/>
        <v>5.4815500163274198</v>
      </c>
      <c r="CN87" s="47">
        <f t="shared" si="85"/>
        <v>0</v>
      </c>
      <c r="CO87" s="5"/>
      <c r="CP87" s="47">
        <f t="shared" si="86"/>
        <v>2.2777022070671758E-2</v>
      </c>
      <c r="CQ87" s="47">
        <f t="shared" si="87"/>
        <v>3.8907386897125765E-2</v>
      </c>
      <c r="CR87" s="47">
        <f t="shared" si="88"/>
        <v>0.997853096972111</v>
      </c>
      <c r="CS87" s="47">
        <f t="shared" si="89"/>
        <v>0.50000000000000044</v>
      </c>
      <c r="CT87" s="47">
        <f t="shared" si="90"/>
        <v>1.818449983672581E-2</v>
      </c>
      <c r="CU87" s="47">
        <f t="shared" si="91"/>
        <v>1.5777220057766348</v>
      </c>
    </row>
    <row r="88" spans="1:99" ht="15" customHeight="1">
      <c r="A88" s="5"/>
      <c r="B88" s="37" t="s">
        <v>74</v>
      </c>
      <c r="C88" s="37" t="s">
        <v>252</v>
      </c>
      <c r="D88" s="37" t="s">
        <v>255</v>
      </c>
      <c r="E88" s="26">
        <v>42551</v>
      </c>
      <c r="F88" s="38">
        <f t="shared" si="71"/>
        <v>71.505429333456348</v>
      </c>
      <c r="G88" s="4">
        <f>15760718-3608235-6161008</f>
        <v>5991475</v>
      </c>
      <c r="H88" s="4">
        <f>2968877-2305266-470799</f>
        <v>192812</v>
      </c>
      <c r="I88" s="4">
        <v>15760718</v>
      </c>
      <c r="J88" s="4">
        <v>12881059</v>
      </c>
      <c r="K88" s="4">
        <v>5336722</v>
      </c>
      <c r="L88" s="4">
        <v>14212758</v>
      </c>
      <c r="M88" s="4">
        <v>412095</v>
      </c>
      <c r="N88" s="4">
        <v>595617</v>
      </c>
      <c r="O88" s="4">
        <v>2405566</v>
      </c>
      <c r="P88" s="4">
        <f t="shared" si="101"/>
        <v>17626036</v>
      </c>
      <c r="Q88" s="4">
        <v>16741243</v>
      </c>
      <c r="R88" s="4">
        <f t="shared" si="102"/>
        <v>884793</v>
      </c>
      <c r="S88" s="27">
        <v>16589606</v>
      </c>
      <c r="T88" s="27">
        <v>16073650</v>
      </c>
      <c r="U88" s="27">
        <v>17463033</v>
      </c>
      <c r="V88" s="27">
        <v>17454963</v>
      </c>
      <c r="W88" s="27">
        <v>80517</v>
      </c>
      <c r="X88" s="27">
        <v>470799</v>
      </c>
      <c r="Y88" s="27">
        <v>436981</v>
      </c>
      <c r="Z88" s="27">
        <v>0</v>
      </c>
      <c r="AA88" s="27">
        <f>2776065-X88-Y88-Z88</f>
        <v>1868285</v>
      </c>
      <c r="AB88" s="27">
        <f t="shared" si="104"/>
        <v>2776065</v>
      </c>
      <c r="AC88" s="27"/>
      <c r="AD88" s="27"/>
      <c r="AE88" s="27"/>
      <c r="AF88" s="27"/>
      <c r="AG88" s="27"/>
      <c r="AH88" s="27"/>
      <c r="AI88" s="27"/>
      <c r="AJ88" s="26"/>
      <c r="AK88" s="53"/>
      <c r="AL88" s="53"/>
      <c r="AM88" s="53"/>
      <c r="AN88" s="49"/>
      <c r="AO88" s="49"/>
      <c r="AP88" s="49"/>
      <c r="AQ88" s="27"/>
      <c r="AR88" s="27">
        <v>72689</v>
      </c>
      <c r="AS88" s="27">
        <v>0</v>
      </c>
      <c r="AT88" s="27">
        <v>0</v>
      </c>
      <c r="AU88" s="27">
        <v>0</v>
      </c>
      <c r="AV88" s="27">
        <v>275000</v>
      </c>
      <c r="AW88" s="27">
        <v>1577266</v>
      </c>
      <c r="AX88" s="27">
        <f t="shared" si="93"/>
        <v>1852266</v>
      </c>
      <c r="AY88" s="27">
        <v>0</v>
      </c>
      <c r="AZ88" s="27">
        <v>816090</v>
      </c>
      <c r="BA88" s="27">
        <v>1188104</v>
      </c>
      <c r="BB88" s="27">
        <v>275000</v>
      </c>
      <c r="BC88" s="27">
        <v>1555763</v>
      </c>
      <c r="BD88" s="27">
        <f t="shared" si="103"/>
        <v>3834957</v>
      </c>
      <c r="BE88" s="29">
        <f t="shared" si="72"/>
        <v>0</v>
      </c>
      <c r="BF88" s="29">
        <f t="shared" si="73"/>
        <v>0.11523617846599871</v>
      </c>
      <c r="BG88" s="29">
        <f t="shared" si="74"/>
        <v>0.13270618532720574</v>
      </c>
      <c r="BH88" s="42">
        <f>VLOOKUP(B88,Unemployment!$A$2:$F$193,6,0)</f>
        <v>-9.9999999999999645E-2</v>
      </c>
      <c r="BI88" s="29">
        <f>VLOOKUP(B88,Zillow!$C$11:$R$193,16,0)</f>
        <v>1.8072722046565189E-2</v>
      </c>
      <c r="BJ88" s="5"/>
      <c r="BK88" s="6">
        <v>10</v>
      </c>
      <c r="BL88" s="6">
        <v>40</v>
      </c>
      <c r="BM88" s="6">
        <v>30</v>
      </c>
      <c r="BN88" s="6">
        <v>10</v>
      </c>
      <c r="BO88" s="6">
        <v>10</v>
      </c>
      <c r="BP88" s="5"/>
      <c r="BQ88" s="43">
        <v>0.2</v>
      </c>
      <c r="BR88" s="43">
        <v>0.02</v>
      </c>
      <c r="BS88" s="43">
        <v>2.2000000000000002</v>
      </c>
      <c r="BT88" s="44">
        <v>0.02</v>
      </c>
      <c r="BU88" s="43">
        <v>-7.0000000000000007E-2</v>
      </c>
      <c r="BV88" s="5"/>
      <c r="BW88" s="43">
        <v>0.05</v>
      </c>
      <c r="BX88" s="43">
        <v>0.32</v>
      </c>
      <c r="BY88" s="43">
        <v>0.4</v>
      </c>
      <c r="BZ88" s="44">
        <v>0</v>
      </c>
      <c r="CA88" s="43">
        <v>0.03</v>
      </c>
      <c r="CB88" s="5"/>
      <c r="CC88" s="45">
        <f t="shared" si="75"/>
        <v>-1.5000000000000003E-2</v>
      </c>
      <c r="CD88" s="45">
        <f t="shared" si="76"/>
        <v>7.4999999999999997E-3</v>
      </c>
      <c r="CE88" s="45">
        <f t="shared" si="77"/>
        <v>-6.0000000000000012E-2</v>
      </c>
      <c r="CF88" s="46">
        <f t="shared" si="78"/>
        <v>-2E-3</v>
      </c>
      <c r="CG88" s="45">
        <f t="shared" si="79"/>
        <v>0.01</v>
      </c>
      <c r="CH88" s="5"/>
      <c r="CI88" s="44">
        <f t="shared" si="80"/>
        <v>10</v>
      </c>
      <c r="CJ88" s="44">
        <f t="shared" si="81"/>
        <v>12.698157128799828</v>
      </c>
      <c r="CK88" s="44">
        <f t="shared" si="82"/>
        <v>30</v>
      </c>
      <c r="CL88" s="44">
        <f t="shared" si="83"/>
        <v>10</v>
      </c>
      <c r="CM88" s="44">
        <f t="shared" si="84"/>
        <v>8.8072722046565186</v>
      </c>
      <c r="CN88" s="47">
        <f t="shared" si="85"/>
        <v>0</v>
      </c>
      <c r="CO88" s="5"/>
      <c r="CP88" s="47">
        <f t="shared" si="86"/>
        <v>7.5000000000000023E-3</v>
      </c>
      <c r="CQ88" s="47">
        <f t="shared" si="87"/>
        <v>1.9236178465998718E-2</v>
      </c>
      <c r="CR88" s="47">
        <f t="shared" si="88"/>
        <v>0.85270618532720599</v>
      </c>
      <c r="CS88" s="47">
        <f t="shared" si="89"/>
        <v>9.9999999999999645E-2</v>
      </c>
      <c r="CT88" s="47">
        <f t="shared" si="90"/>
        <v>1.5072722046565189E-2</v>
      </c>
      <c r="CU88" s="47">
        <f t="shared" si="91"/>
        <v>0.99451508583976955</v>
      </c>
    </row>
    <row r="89" spans="1:99" ht="15" customHeight="1">
      <c r="A89" s="5"/>
      <c r="B89" s="37" t="s">
        <v>110</v>
      </c>
      <c r="C89" s="37" t="s">
        <v>252</v>
      </c>
      <c r="D89" s="37" t="s">
        <v>258</v>
      </c>
      <c r="E89" s="26">
        <v>42551</v>
      </c>
      <c r="F89" s="38">
        <f t="shared" si="71"/>
        <v>76.163480874138557</v>
      </c>
      <c r="G89" s="4">
        <f>492306*1000-88251*1000-289611*1000</f>
        <v>114444000</v>
      </c>
      <c r="H89" s="4">
        <f>184718*1000-19152*1000-138327*1000</f>
        <v>27239000</v>
      </c>
      <c r="I89" s="4">
        <f>492306*1000</f>
        <v>492306000</v>
      </c>
      <c r="J89" s="4">
        <f>341398*1000</f>
        <v>341398000</v>
      </c>
      <c r="K89" s="4">
        <f>70552*1000</f>
        <v>70552000</v>
      </c>
      <c r="L89" s="4">
        <f>133127*1000</f>
        <v>133127000</v>
      </c>
      <c r="M89" s="4">
        <v>4854000</v>
      </c>
      <c r="N89" s="4">
        <f>22711*1000</f>
        <v>22711000</v>
      </c>
      <c r="O89" s="4">
        <v>49251000</v>
      </c>
      <c r="P89" s="4">
        <f>SUM(L89:O89)</f>
        <v>209943000</v>
      </c>
      <c r="Q89" s="4">
        <f>220487*1000</f>
        <v>220487000</v>
      </c>
      <c r="R89" s="4">
        <f t="shared" si="102"/>
        <v>-10544000</v>
      </c>
      <c r="S89" s="27">
        <v>155794000</v>
      </c>
      <c r="T89" s="27">
        <v>141467000</v>
      </c>
      <c r="U89" s="27">
        <v>208866000</v>
      </c>
      <c r="V89" s="27">
        <v>226367000</v>
      </c>
      <c r="W89" s="27">
        <v>1241000</v>
      </c>
      <c r="X89" s="27">
        <v>19152000</v>
      </c>
      <c r="Y89" s="27">
        <v>0</v>
      </c>
      <c r="Z89" s="27">
        <v>47598000</v>
      </c>
      <c r="AA89" s="27">
        <v>90729000</v>
      </c>
      <c r="AB89" s="27">
        <f t="shared" si="104"/>
        <v>157479000</v>
      </c>
      <c r="AC89" s="27">
        <v>47598000</v>
      </c>
      <c r="AD89" s="27">
        <v>0</v>
      </c>
      <c r="AE89" s="27">
        <f>AC89+AD89</f>
        <v>47598000</v>
      </c>
      <c r="AF89" s="27">
        <v>0</v>
      </c>
      <c r="AG89" s="27">
        <v>15164000</v>
      </c>
      <c r="AH89" s="27">
        <v>15796000</v>
      </c>
      <c r="AI89" s="27">
        <v>10668000</v>
      </c>
      <c r="AJ89" s="26">
        <v>41821</v>
      </c>
      <c r="AK89" s="53">
        <v>8748000</v>
      </c>
      <c r="AL89" s="53">
        <v>183479000</v>
      </c>
      <c r="AM89" s="39">
        <f>AL89-AK89</f>
        <v>174731000</v>
      </c>
      <c r="AN89" s="40">
        <f>AK89/AL89</f>
        <v>4.7678480916072137E-2</v>
      </c>
      <c r="AO89" s="40">
        <v>7.3999999999999996E-2</v>
      </c>
      <c r="AP89" s="40">
        <v>0.03</v>
      </c>
      <c r="AQ89" s="27">
        <v>2630000</v>
      </c>
      <c r="AR89" s="27">
        <v>2630000</v>
      </c>
      <c r="AS89" s="27">
        <v>0</v>
      </c>
      <c r="AT89" s="27">
        <v>0</v>
      </c>
      <c r="AU89" s="27">
        <v>0</v>
      </c>
      <c r="AV89" s="27">
        <v>4829000</v>
      </c>
      <c r="AW89" s="27">
        <v>22979000</v>
      </c>
      <c r="AX89" s="27">
        <f t="shared" si="93"/>
        <v>27808000</v>
      </c>
      <c r="AY89" s="27">
        <v>32000</v>
      </c>
      <c r="AZ89" s="27">
        <v>4120000</v>
      </c>
      <c r="BA89" s="27">
        <v>18728000</v>
      </c>
      <c r="BB89" s="27">
        <v>4829000</v>
      </c>
      <c r="BC89" s="27">
        <v>8471000</v>
      </c>
      <c r="BD89" s="27">
        <f t="shared" si="103"/>
        <v>36180000</v>
      </c>
      <c r="BE89" s="29">
        <f t="shared" si="72"/>
        <v>1.252720976646042E-2</v>
      </c>
      <c r="BF89" s="29">
        <f t="shared" si="73"/>
        <v>0.19656881110082211</v>
      </c>
      <c r="BG89" s="29">
        <f t="shared" si="74"/>
        <v>0.75010359954844885</v>
      </c>
      <c r="BH89" s="42">
        <f>VLOOKUP(B89,Unemployment!$A$2:$F$193,6,0)</f>
        <v>-0.60000000000000053</v>
      </c>
      <c r="BI89" s="29">
        <f>VLOOKUP(B89,Zillow!$C$11:$R$193,16,0)</f>
        <v>1.4560327198364103E-2</v>
      </c>
      <c r="BJ89" s="5"/>
      <c r="BK89" s="6">
        <v>10</v>
      </c>
      <c r="BL89" s="6">
        <v>40</v>
      </c>
      <c r="BM89" s="6">
        <v>30</v>
      </c>
      <c r="BN89" s="6">
        <v>10</v>
      </c>
      <c r="BO89" s="6">
        <v>10</v>
      </c>
      <c r="BP89" s="5"/>
      <c r="BQ89" s="43">
        <v>0.2</v>
      </c>
      <c r="BR89" s="43">
        <v>0.02</v>
      </c>
      <c r="BS89" s="43">
        <v>2.2000000000000002</v>
      </c>
      <c r="BT89" s="44">
        <v>0.02</v>
      </c>
      <c r="BU89" s="43">
        <v>-7.0000000000000007E-2</v>
      </c>
      <c r="BV89" s="5"/>
      <c r="BW89" s="43">
        <v>0.05</v>
      </c>
      <c r="BX89" s="43">
        <v>0.32</v>
      </c>
      <c r="BY89" s="43">
        <v>0.4</v>
      </c>
      <c r="BZ89" s="44">
        <v>0</v>
      </c>
      <c r="CA89" s="43">
        <v>0.03</v>
      </c>
      <c r="CB89" s="5"/>
      <c r="CC89" s="45">
        <f t="shared" si="75"/>
        <v>-1.5000000000000003E-2</v>
      </c>
      <c r="CD89" s="45">
        <f t="shared" si="76"/>
        <v>7.4999999999999997E-3</v>
      </c>
      <c r="CE89" s="45">
        <f t="shared" si="77"/>
        <v>-6.0000000000000012E-2</v>
      </c>
      <c r="CF89" s="46">
        <f t="shared" si="78"/>
        <v>-2E-3</v>
      </c>
      <c r="CG89" s="45">
        <f t="shared" si="79"/>
        <v>0.01</v>
      </c>
      <c r="CH89" s="5"/>
      <c r="CI89" s="44">
        <f t="shared" si="80"/>
        <v>10</v>
      </c>
      <c r="CJ89" s="44">
        <f t="shared" si="81"/>
        <v>23.542508146776285</v>
      </c>
      <c r="CK89" s="44">
        <f t="shared" si="82"/>
        <v>24.16494000752585</v>
      </c>
      <c r="CL89" s="44">
        <f t="shared" si="83"/>
        <v>10</v>
      </c>
      <c r="CM89" s="44">
        <f t="shared" si="84"/>
        <v>8.4560327198364114</v>
      </c>
      <c r="CN89" s="47">
        <f t="shared" si="85"/>
        <v>0</v>
      </c>
      <c r="CO89" s="5"/>
      <c r="CP89" s="47">
        <f t="shared" si="86"/>
        <v>2.0027209766460424E-2</v>
      </c>
      <c r="CQ89" s="47">
        <f t="shared" si="87"/>
        <v>0.10056881110082212</v>
      </c>
      <c r="CR89" s="47">
        <f t="shared" si="88"/>
        <v>1.470103599548449</v>
      </c>
      <c r="CS89" s="47">
        <f t="shared" si="89"/>
        <v>0.60000000000000053</v>
      </c>
      <c r="CT89" s="47">
        <f t="shared" si="90"/>
        <v>1.1560327198364103E-2</v>
      </c>
      <c r="CU89" s="47">
        <f t="shared" si="91"/>
        <v>2.2022599476140963</v>
      </c>
    </row>
    <row r="90" spans="1:99" ht="15" customHeight="1">
      <c r="A90" s="5"/>
      <c r="B90" s="37" t="s">
        <v>18</v>
      </c>
      <c r="C90" s="37" t="s">
        <v>252</v>
      </c>
      <c r="D90" s="37" t="s">
        <v>258</v>
      </c>
      <c r="E90" s="26">
        <v>42551</v>
      </c>
      <c r="F90" s="38">
        <f t="shared" si="71"/>
        <v>60.021326188138048</v>
      </c>
      <c r="G90" s="4">
        <f>476679*1000-183454*1000-186328*1000</f>
        <v>106897000</v>
      </c>
      <c r="H90" s="4">
        <f>438353*1000-381946*1000-17438*1000</f>
        <v>38969000</v>
      </c>
      <c r="I90" s="4">
        <f>476679*1000</f>
        <v>476679000</v>
      </c>
      <c r="J90" s="4">
        <f>90991*1000</f>
        <v>90991000</v>
      </c>
      <c r="K90" s="4">
        <f>-107675*1000</f>
        <v>-107675000</v>
      </c>
      <c r="L90" s="4">
        <f>194959*1000</f>
        <v>194959000</v>
      </c>
      <c r="M90" s="4">
        <f>18527*1000</f>
        <v>18527000</v>
      </c>
      <c r="N90" s="4">
        <f>10743*1000</f>
        <v>10743000</v>
      </c>
      <c r="O90" s="4">
        <f>31098*1000</f>
        <v>31098000</v>
      </c>
      <c r="P90" s="4">
        <f>SUM(L90:O90)</f>
        <v>255327000</v>
      </c>
      <c r="Q90" s="4">
        <f>259233*1000</f>
        <v>259233000</v>
      </c>
      <c r="R90" s="4">
        <f t="shared" si="102"/>
        <v>-3906000</v>
      </c>
      <c r="S90" s="27">
        <f>214644*1000</f>
        <v>214644000</v>
      </c>
      <c r="T90" s="27">
        <f>209772*1000</f>
        <v>209772000</v>
      </c>
      <c r="U90" s="27">
        <f>255424*1000</f>
        <v>255424000</v>
      </c>
      <c r="V90" s="27">
        <f>258928*1000</f>
        <v>258928000</v>
      </c>
      <c r="W90" s="27">
        <f>4765*1000</f>
        <v>4765000</v>
      </c>
      <c r="X90" s="27">
        <f>17438*1000</f>
        <v>17438000</v>
      </c>
      <c r="Y90" s="27">
        <f>75158*1000</f>
        <v>75158000</v>
      </c>
      <c r="Z90" s="27">
        <f>144624*1000</f>
        <v>144624000</v>
      </c>
      <c r="AA90" s="27">
        <f>399384*1000-X90-Y90-Z90</f>
        <v>162164000</v>
      </c>
      <c r="AB90" s="27">
        <f t="shared" si="104"/>
        <v>399384000</v>
      </c>
      <c r="AC90" s="27">
        <f>81073*1000+63551*1000</f>
        <v>144624000</v>
      </c>
      <c r="AD90" s="27">
        <v>0</v>
      </c>
      <c r="AE90" s="27">
        <f>AC90+AD90</f>
        <v>144624000</v>
      </c>
      <c r="AF90" s="27">
        <v>0</v>
      </c>
      <c r="AG90" s="27">
        <f>13680*1000+12103*1000</f>
        <v>25783000</v>
      </c>
      <c r="AH90" s="27">
        <f>12804*1000+11395*1000</f>
        <v>24199000</v>
      </c>
      <c r="AI90" s="27">
        <f>4959*1000+7086*1000</f>
        <v>12045000</v>
      </c>
      <c r="AJ90" s="26">
        <v>41821</v>
      </c>
      <c r="AK90" s="53">
        <f>4090*1000+0</f>
        <v>4090000</v>
      </c>
      <c r="AL90" s="53">
        <f>126084*1000+145420*1000</f>
        <v>271504000</v>
      </c>
      <c r="AM90" s="39">
        <f>AL90-AK90</f>
        <v>267414000</v>
      </c>
      <c r="AN90" s="40">
        <v>3.2399999999999998E-2</v>
      </c>
      <c r="AO90" s="40">
        <v>0.05</v>
      </c>
      <c r="AP90" s="49"/>
      <c r="AQ90" s="27">
        <f>6348*1000</f>
        <v>6348000</v>
      </c>
      <c r="AR90" s="27">
        <f>4525*1000</f>
        <v>4525000</v>
      </c>
      <c r="AS90" s="27">
        <f>21*1000</f>
        <v>21000</v>
      </c>
      <c r="AT90" s="27">
        <v>0</v>
      </c>
      <c r="AU90" s="27">
        <f>1090*1000</f>
        <v>1090000</v>
      </c>
      <c r="AV90" s="27">
        <f t="shared" ref="AV90:BB90" si="105">8094*1000</f>
        <v>8094000</v>
      </c>
      <c r="AW90" s="27">
        <f>20668*1000</f>
        <v>20668000</v>
      </c>
      <c r="AX90" s="27">
        <f t="shared" si="93"/>
        <v>29873000</v>
      </c>
      <c r="AY90" s="27">
        <f>51*1000</f>
        <v>51000</v>
      </c>
      <c r="AZ90" s="27">
        <f>358*1000</f>
        <v>358000</v>
      </c>
      <c r="BA90" s="27">
        <f>15314*1000</f>
        <v>15314000</v>
      </c>
      <c r="BB90" s="27">
        <f t="shared" si="105"/>
        <v>8094000</v>
      </c>
      <c r="BC90" s="27">
        <f>9749*1000</f>
        <v>9749000</v>
      </c>
      <c r="BD90" s="27">
        <f t="shared" si="103"/>
        <v>33566000</v>
      </c>
      <c r="BE90" s="29">
        <f t="shared" si="72"/>
        <v>2.4862235486258797E-2</v>
      </c>
      <c r="BF90" s="29">
        <f t="shared" si="73"/>
        <v>0.14240699426043513</v>
      </c>
      <c r="BG90" s="29">
        <f t="shared" si="74"/>
        <v>1.2698461188985106</v>
      </c>
      <c r="BH90" s="42">
        <f>VLOOKUP(B90,Unemployment!$A$2:$F$193,6,0)</f>
        <v>-0.5</v>
      </c>
      <c r="BI90" s="29">
        <f>VLOOKUP(B90,Zillow!$C$11:$R$193,16,0)</f>
        <v>1.1978289350552125E-2</v>
      </c>
      <c r="BJ90" s="5"/>
      <c r="BK90" s="6">
        <v>10</v>
      </c>
      <c r="BL90" s="6">
        <v>40</v>
      </c>
      <c r="BM90" s="6">
        <v>30</v>
      </c>
      <c r="BN90" s="6">
        <v>10</v>
      </c>
      <c r="BO90" s="6">
        <v>10</v>
      </c>
      <c r="BP90" s="5"/>
      <c r="BQ90" s="43">
        <v>0.2</v>
      </c>
      <c r="BR90" s="43">
        <v>0.02</v>
      </c>
      <c r="BS90" s="43">
        <v>2.2000000000000002</v>
      </c>
      <c r="BT90" s="44">
        <v>0.02</v>
      </c>
      <c r="BU90" s="43">
        <v>-7.0000000000000007E-2</v>
      </c>
      <c r="BV90" s="5"/>
      <c r="BW90" s="43">
        <v>0.05</v>
      </c>
      <c r="BX90" s="43">
        <v>0.32</v>
      </c>
      <c r="BY90" s="43">
        <v>0.4</v>
      </c>
      <c r="BZ90" s="44">
        <v>0</v>
      </c>
      <c r="CA90" s="43">
        <v>0.03</v>
      </c>
      <c r="CB90" s="5"/>
      <c r="CC90" s="45">
        <f t="shared" si="75"/>
        <v>-1.5000000000000003E-2</v>
      </c>
      <c r="CD90" s="45">
        <f t="shared" si="76"/>
        <v>7.4999999999999997E-3</v>
      </c>
      <c r="CE90" s="45">
        <f t="shared" si="77"/>
        <v>-6.0000000000000012E-2</v>
      </c>
      <c r="CF90" s="46">
        <f t="shared" si="78"/>
        <v>-2E-3</v>
      </c>
      <c r="CG90" s="45">
        <f t="shared" si="79"/>
        <v>0.01</v>
      </c>
      <c r="CH90" s="5"/>
      <c r="CI90" s="44">
        <f t="shared" si="80"/>
        <v>10</v>
      </c>
      <c r="CJ90" s="44">
        <f t="shared" si="81"/>
        <v>16.320932568058016</v>
      </c>
      <c r="CK90" s="44">
        <f t="shared" si="82"/>
        <v>15.502564685024822</v>
      </c>
      <c r="CL90" s="44">
        <f t="shared" si="83"/>
        <v>10</v>
      </c>
      <c r="CM90" s="44">
        <f t="shared" si="84"/>
        <v>8.1978289350552132</v>
      </c>
      <c r="CN90" s="47">
        <f t="shared" si="85"/>
        <v>0</v>
      </c>
      <c r="CO90" s="5"/>
      <c r="CP90" s="47">
        <f t="shared" si="86"/>
        <v>3.23622354862588E-2</v>
      </c>
      <c r="CQ90" s="47">
        <f t="shared" si="87"/>
        <v>4.6406994260435139E-2</v>
      </c>
      <c r="CR90" s="47">
        <f t="shared" si="88"/>
        <v>1.9898461188985108</v>
      </c>
      <c r="CS90" s="47">
        <f t="shared" si="89"/>
        <v>0.5</v>
      </c>
      <c r="CT90" s="47">
        <f t="shared" si="90"/>
        <v>8.9782893505521259E-3</v>
      </c>
      <c r="CU90" s="47">
        <f t="shared" si="91"/>
        <v>2.5775936379957569</v>
      </c>
    </row>
    <row r="91" spans="1:99" ht="15" customHeight="1">
      <c r="A91" s="5"/>
      <c r="B91" s="37" t="s">
        <v>35</v>
      </c>
      <c r="C91" s="37" t="s">
        <v>252</v>
      </c>
      <c r="D91" s="37" t="s">
        <v>255</v>
      </c>
      <c r="E91" s="26">
        <v>42551</v>
      </c>
      <c r="F91" s="38">
        <f t="shared" si="71"/>
        <v>64.159561564043173</v>
      </c>
      <c r="G91" s="4">
        <f>113926573-74704923-15123844</f>
        <v>24097806</v>
      </c>
      <c r="H91" s="4">
        <f>68583200-54597567-7133468</f>
        <v>6852165</v>
      </c>
      <c r="I91" s="4">
        <v>113926573</v>
      </c>
      <c r="J91" s="4">
        <v>48705465</v>
      </c>
      <c r="K91" s="4">
        <v>170081</v>
      </c>
      <c r="L91" s="4">
        <v>74628100</v>
      </c>
      <c r="M91" s="4">
        <v>739071</v>
      </c>
      <c r="N91" s="4">
        <v>8029036</v>
      </c>
      <c r="O91" s="4">
        <v>16383666</v>
      </c>
      <c r="P91" s="4">
        <f>SUM(L91:O91)</f>
        <v>99779873</v>
      </c>
      <c r="Q91" s="4">
        <v>95648838</v>
      </c>
      <c r="R91" s="4">
        <f t="shared" si="102"/>
        <v>4131035</v>
      </c>
      <c r="S91" s="27">
        <v>89637538</v>
      </c>
      <c r="T91" s="27">
        <v>86568596</v>
      </c>
      <c r="U91" s="27">
        <v>98270791</v>
      </c>
      <c r="V91" s="27">
        <v>96952608</v>
      </c>
      <c r="W91" s="27">
        <v>1711281</v>
      </c>
      <c r="X91" s="27">
        <v>7133468</v>
      </c>
      <c r="Y91" s="27">
        <v>7768551</v>
      </c>
      <c r="Z91" s="27">
        <v>3226258</v>
      </c>
      <c r="AA91" s="27">
        <f>61731035-X91-Y91-Z91</f>
        <v>43602758</v>
      </c>
      <c r="AB91" s="27">
        <f t="shared" si="104"/>
        <v>61731035</v>
      </c>
      <c r="AC91" s="27">
        <v>747298</v>
      </c>
      <c r="AD91" s="27">
        <v>0</v>
      </c>
      <c r="AE91" s="27">
        <f>AC91+AD91</f>
        <v>747298</v>
      </c>
      <c r="AF91" s="27">
        <v>0</v>
      </c>
      <c r="AG91" s="27">
        <v>106000</v>
      </c>
      <c r="AH91" s="27">
        <v>102079</v>
      </c>
      <c r="AI91" s="27">
        <v>94479</v>
      </c>
      <c r="AJ91" s="26">
        <v>41821</v>
      </c>
      <c r="AK91" s="39">
        <v>232000</v>
      </c>
      <c r="AL91" s="39">
        <v>766000</v>
      </c>
      <c r="AM91" s="39">
        <f>AL91-AK91</f>
        <v>534000</v>
      </c>
      <c r="AN91" s="40">
        <f>AK91/AL91</f>
        <v>0.30287206266318539</v>
      </c>
      <c r="AO91" s="40">
        <v>7.0000000000000007E-2</v>
      </c>
      <c r="AP91" s="50" t="s">
        <v>292</v>
      </c>
      <c r="AQ91" s="27">
        <f>382281+376663</f>
        <v>758944</v>
      </c>
      <c r="AR91" s="27">
        <f>383000+367541</f>
        <v>750541</v>
      </c>
      <c r="AS91" s="27">
        <v>166433</v>
      </c>
      <c r="AT91" s="27">
        <v>389539</v>
      </c>
      <c r="AU91" s="27">
        <v>0</v>
      </c>
      <c r="AV91" s="27">
        <v>1113291</v>
      </c>
      <c r="AW91" s="27">
        <v>8083096</v>
      </c>
      <c r="AX91" s="27">
        <f t="shared" si="93"/>
        <v>9752359</v>
      </c>
      <c r="AY91" s="27">
        <v>168683</v>
      </c>
      <c r="AZ91" s="27">
        <v>889073</v>
      </c>
      <c r="BA91" s="27">
        <v>2945006</v>
      </c>
      <c r="BB91" s="27">
        <v>3093737</v>
      </c>
      <c r="BC91" s="27">
        <v>7010475</v>
      </c>
      <c r="BD91" s="27">
        <f t="shared" si="103"/>
        <v>14106974</v>
      </c>
      <c r="BE91" s="29">
        <f t="shared" si="72"/>
        <v>7.6061832630314134E-3</v>
      </c>
      <c r="BF91" s="29">
        <f t="shared" si="73"/>
        <v>0.11265469755337143</v>
      </c>
      <c r="BG91" s="29">
        <f t="shared" si="74"/>
        <v>0.54081532054064652</v>
      </c>
      <c r="BH91" s="42">
        <f>VLOOKUP(B91,Unemployment!$A$2:$F$193,6,0)</f>
        <v>-0.59999999999999964</v>
      </c>
      <c r="BI91" s="29">
        <f>VLOOKUP(B91,Zillow!$C$11:$R$193,16,0)</f>
        <v>-2.8474761007288994E-2</v>
      </c>
      <c r="BJ91" s="5"/>
      <c r="BK91" s="6">
        <v>10</v>
      </c>
      <c r="BL91" s="6">
        <v>40</v>
      </c>
      <c r="BM91" s="6">
        <v>30</v>
      </c>
      <c r="BN91" s="6">
        <v>10</v>
      </c>
      <c r="BO91" s="6">
        <v>10</v>
      </c>
      <c r="BP91" s="5"/>
      <c r="BQ91" s="43">
        <v>0.2</v>
      </c>
      <c r="BR91" s="43">
        <v>0.02</v>
      </c>
      <c r="BS91" s="43">
        <v>2.2000000000000002</v>
      </c>
      <c r="BT91" s="44">
        <v>0.02</v>
      </c>
      <c r="BU91" s="43">
        <v>-7.0000000000000007E-2</v>
      </c>
      <c r="BV91" s="5"/>
      <c r="BW91" s="43">
        <v>0.05</v>
      </c>
      <c r="BX91" s="43">
        <v>0.32</v>
      </c>
      <c r="BY91" s="43">
        <v>0.4</v>
      </c>
      <c r="BZ91" s="44">
        <v>0</v>
      </c>
      <c r="CA91" s="43">
        <v>0.03</v>
      </c>
      <c r="CB91" s="5"/>
      <c r="CC91" s="45">
        <f t="shared" si="75"/>
        <v>-1.5000000000000003E-2</v>
      </c>
      <c r="CD91" s="45">
        <f t="shared" si="76"/>
        <v>7.4999999999999997E-3</v>
      </c>
      <c r="CE91" s="45">
        <f t="shared" si="77"/>
        <v>-6.0000000000000012E-2</v>
      </c>
      <c r="CF91" s="46">
        <f t="shared" si="78"/>
        <v>-2E-3</v>
      </c>
      <c r="CG91" s="45">
        <f t="shared" si="79"/>
        <v>0.01</v>
      </c>
      <c r="CH91" s="5"/>
      <c r="CI91" s="44">
        <f t="shared" si="80"/>
        <v>10</v>
      </c>
      <c r="CJ91" s="44">
        <f t="shared" si="81"/>
        <v>12.353959673782857</v>
      </c>
      <c r="CK91" s="44">
        <f t="shared" si="82"/>
        <v>27.653077990989221</v>
      </c>
      <c r="CL91" s="44">
        <f t="shared" si="83"/>
        <v>10</v>
      </c>
      <c r="CM91" s="44">
        <f t="shared" si="84"/>
        <v>4.1525238992711015</v>
      </c>
      <c r="CN91" s="47">
        <f t="shared" si="85"/>
        <v>0</v>
      </c>
      <c r="CO91" s="5"/>
      <c r="CP91" s="47">
        <f t="shared" si="86"/>
        <v>1.5106183263031415E-2</v>
      </c>
      <c r="CQ91" s="47">
        <f t="shared" si="87"/>
        <v>1.6654697553371442E-2</v>
      </c>
      <c r="CR91" s="47">
        <f t="shared" si="88"/>
        <v>1.2608153205406467</v>
      </c>
      <c r="CS91" s="47">
        <f t="shared" si="89"/>
        <v>0.59999999999999964</v>
      </c>
      <c r="CT91" s="47">
        <f t="shared" si="90"/>
        <v>3.1474761007288993E-2</v>
      </c>
      <c r="CU91" s="47">
        <f t="shared" si="91"/>
        <v>1.9240509623643383</v>
      </c>
    </row>
    <row r="92" spans="1:99" ht="15" customHeight="1">
      <c r="A92" s="5"/>
      <c r="B92" s="37" t="s">
        <v>86</v>
      </c>
      <c r="C92" s="37" t="s">
        <v>252</v>
      </c>
      <c r="D92" s="37" t="s">
        <v>255</v>
      </c>
      <c r="E92" s="26">
        <v>42551</v>
      </c>
      <c r="F92" s="38">
        <f t="shared" si="71"/>
        <v>73.434921679118375</v>
      </c>
      <c r="G92" s="4">
        <f>181558120-145917475-3679576-218277-1163251-89821</f>
        <v>30489720</v>
      </c>
      <c r="H92" s="4">
        <f>51713383-44173058-4612285</f>
        <v>2928040</v>
      </c>
      <c r="I92" s="4">
        <v>181558120</v>
      </c>
      <c r="J92" s="4">
        <v>131829728</v>
      </c>
      <c r="K92" s="4">
        <v>20968754</v>
      </c>
      <c r="L92" s="4">
        <v>42364400</v>
      </c>
      <c r="M92" s="4">
        <v>1145360</v>
      </c>
      <c r="N92" s="4">
        <v>10134598</v>
      </c>
      <c r="O92" s="4">
        <v>20938812</v>
      </c>
      <c r="P92" s="4">
        <f>SUM(L92:O92)</f>
        <v>74583170</v>
      </c>
      <c r="Q92" s="4">
        <v>71081629</v>
      </c>
      <c r="R92" s="4">
        <f t="shared" si="102"/>
        <v>3501541</v>
      </c>
      <c r="S92" s="27">
        <v>62931474</v>
      </c>
      <c r="T92" s="27">
        <v>63763384</v>
      </c>
      <c r="U92" s="27">
        <v>66153679</v>
      </c>
      <c r="V92" s="27">
        <v>67160125</v>
      </c>
      <c r="W92" s="27">
        <v>-539330</v>
      </c>
      <c r="X92" s="27">
        <f>4005833+606452</f>
        <v>4612285</v>
      </c>
      <c r="Y92" s="27">
        <f>6141156+425128</f>
        <v>6566284</v>
      </c>
      <c r="Z92" s="27">
        <v>41583</v>
      </c>
      <c r="AA92" s="27">
        <f>44800057+3985286-X92-Y92-Z92</f>
        <v>37565191</v>
      </c>
      <c r="AB92" s="27">
        <f t="shared" si="104"/>
        <v>48785343</v>
      </c>
      <c r="AC92" s="27">
        <v>41583</v>
      </c>
      <c r="AD92" s="27">
        <v>0</v>
      </c>
      <c r="AE92" s="27">
        <f>AC92+AD92</f>
        <v>41583</v>
      </c>
      <c r="AF92" s="27">
        <v>0</v>
      </c>
      <c r="AG92" s="27">
        <v>115336</v>
      </c>
      <c r="AH92" s="27">
        <v>114989</v>
      </c>
      <c r="AI92" s="27">
        <v>115085</v>
      </c>
      <c r="AJ92" s="26">
        <v>41821</v>
      </c>
      <c r="AK92" s="39">
        <v>0</v>
      </c>
      <c r="AL92" s="39">
        <v>1500164</v>
      </c>
      <c r="AM92" s="39">
        <f>AL92-AK92</f>
        <v>1500164</v>
      </c>
      <c r="AN92" s="40">
        <f>AK92/AL92</f>
        <v>0</v>
      </c>
      <c r="AO92" s="40">
        <v>0.04</v>
      </c>
      <c r="AP92" s="40">
        <v>2.5000000000000001E-2</v>
      </c>
      <c r="AQ92" s="27">
        <v>1346598</v>
      </c>
      <c r="AR92" s="27">
        <v>1346598</v>
      </c>
      <c r="AS92" s="27">
        <v>125836</v>
      </c>
      <c r="AT92" s="27">
        <v>56094</v>
      </c>
      <c r="AU92" s="27">
        <v>188197</v>
      </c>
      <c r="AV92" s="27">
        <v>745621</v>
      </c>
      <c r="AW92" s="27">
        <v>8856301</v>
      </c>
      <c r="AX92" s="27">
        <f t="shared" si="93"/>
        <v>9972049</v>
      </c>
      <c r="AY92" s="27">
        <v>151290</v>
      </c>
      <c r="AZ92" s="27">
        <v>183148</v>
      </c>
      <c r="BA92" s="27">
        <v>1940592</v>
      </c>
      <c r="BB92" s="27">
        <v>745621</v>
      </c>
      <c r="BC92" s="27">
        <v>7890100</v>
      </c>
      <c r="BD92" s="27">
        <f t="shared" si="103"/>
        <v>10910751</v>
      </c>
      <c r="BE92" s="29">
        <f t="shared" si="72"/>
        <v>1.8054984790804682E-2</v>
      </c>
      <c r="BF92" s="29">
        <f t="shared" si="73"/>
        <v>0.15639146441788598</v>
      </c>
      <c r="BG92" s="29">
        <f t="shared" si="74"/>
        <v>0.56606683518547152</v>
      </c>
      <c r="BH92" s="42">
        <f>VLOOKUP(B92,Unemployment!$A$2:$F$193,6,0)</f>
        <v>-1.2000000000000002</v>
      </c>
      <c r="BI92" s="29">
        <f>VLOOKUP(B92,Zillow!$C$11:$R$193,16,0)</f>
        <v>1.0171736764914383E-2</v>
      </c>
      <c r="BJ92" s="5"/>
      <c r="BK92" s="6">
        <v>10</v>
      </c>
      <c r="BL92" s="6">
        <v>40</v>
      </c>
      <c r="BM92" s="6">
        <v>30</v>
      </c>
      <c r="BN92" s="6">
        <v>10</v>
      </c>
      <c r="BO92" s="6">
        <v>10</v>
      </c>
      <c r="BP92" s="5"/>
      <c r="BQ92" s="43">
        <v>0.2</v>
      </c>
      <c r="BR92" s="43">
        <v>0.02</v>
      </c>
      <c r="BS92" s="43">
        <v>2.2000000000000002</v>
      </c>
      <c r="BT92" s="44">
        <v>0.02</v>
      </c>
      <c r="BU92" s="43">
        <v>-7.0000000000000007E-2</v>
      </c>
      <c r="BV92" s="5"/>
      <c r="BW92" s="43">
        <v>0.05</v>
      </c>
      <c r="BX92" s="43">
        <v>0.32</v>
      </c>
      <c r="BY92" s="43">
        <v>0.4</v>
      </c>
      <c r="BZ92" s="44">
        <v>0</v>
      </c>
      <c r="CA92" s="43">
        <v>0.03</v>
      </c>
      <c r="CB92" s="5"/>
      <c r="CC92" s="45">
        <f t="shared" si="75"/>
        <v>-1.5000000000000003E-2</v>
      </c>
      <c r="CD92" s="45">
        <f t="shared" si="76"/>
        <v>7.4999999999999997E-3</v>
      </c>
      <c r="CE92" s="45">
        <f t="shared" si="77"/>
        <v>-6.0000000000000012E-2</v>
      </c>
      <c r="CF92" s="46">
        <f t="shared" si="78"/>
        <v>-2E-3</v>
      </c>
      <c r="CG92" s="45">
        <f t="shared" si="79"/>
        <v>0.01</v>
      </c>
      <c r="CH92" s="5"/>
      <c r="CI92" s="44">
        <f t="shared" si="80"/>
        <v>10</v>
      </c>
      <c r="CJ92" s="44">
        <f t="shared" si="81"/>
        <v>18.185528589051465</v>
      </c>
      <c r="CK92" s="44">
        <f t="shared" si="82"/>
        <v>27.232219413575471</v>
      </c>
      <c r="CL92" s="44">
        <f t="shared" si="83"/>
        <v>10</v>
      </c>
      <c r="CM92" s="44">
        <f t="shared" si="84"/>
        <v>8.0171736764914385</v>
      </c>
      <c r="CN92" s="47">
        <f t="shared" si="85"/>
        <v>0</v>
      </c>
      <c r="CO92" s="5"/>
      <c r="CP92" s="47">
        <f t="shared" si="86"/>
        <v>2.5554984790804685E-2</v>
      </c>
      <c r="CQ92" s="47">
        <f t="shared" si="87"/>
        <v>6.0391464417885996E-2</v>
      </c>
      <c r="CR92" s="47">
        <f t="shared" si="88"/>
        <v>1.2860668351854718</v>
      </c>
      <c r="CS92" s="47">
        <f t="shared" si="89"/>
        <v>1.2000000000000002</v>
      </c>
      <c r="CT92" s="47">
        <f t="shared" si="90"/>
        <v>7.1717367649143833E-3</v>
      </c>
      <c r="CU92" s="47">
        <f t="shared" si="91"/>
        <v>2.579185021159077</v>
      </c>
    </row>
    <row r="93" spans="1:99" ht="15" customHeight="1">
      <c r="A93" s="5"/>
      <c r="B93" s="37" t="s">
        <v>115</v>
      </c>
      <c r="C93" s="37" t="s">
        <v>252</v>
      </c>
      <c r="D93" s="37" t="s">
        <v>255</v>
      </c>
      <c r="E93" s="26">
        <v>42551</v>
      </c>
      <c r="F93" s="38">
        <f t="shared" si="71"/>
        <v>76.960040344750709</v>
      </c>
      <c r="G93" s="4">
        <f>10388919-6182030-448223</f>
        <v>3758666</v>
      </c>
      <c r="H93" s="4">
        <f>1321249-1135425-38255</f>
        <v>147569</v>
      </c>
      <c r="I93" s="4">
        <v>10388919</v>
      </c>
      <c r="J93" s="4">
        <v>9399507</v>
      </c>
      <c r="K93" s="4">
        <v>2564042</v>
      </c>
      <c r="L93" s="4">
        <v>7979752</v>
      </c>
      <c r="M93" s="4">
        <v>208035</v>
      </c>
      <c r="N93" s="4">
        <v>237897</v>
      </c>
      <c r="O93" s="4">
        <v>723494</v>
      </c>
      <c r="P93" s="4">
        <f>SUM(L93:O93)</f>
        <v>9149178</v>
      </c>
      <c r="Q93" s="4">
        <v>9482897</v>
      </c>
      <c r="R93" s="4">
        <f t="shared" si="102"/>
        <v>-333719</v>
      </c>
      <c r="S93" s="27">
        <v>8788032</v>
      </c>
      <c r="T93" s="27">
        <v>8907702</v>
      </c>
      <c r="U93" s="27">
        <v>9070877</v>
      </c>
      <c r="V93" s="27">
        <v>9100467</v>
      </c>
      <c r="W93" s="27">
        <v>-203630</v>
      </c>
      <c r="X93" s="27">
        <v>18919</v>
      </c>
      <c r="Y93" s="27">
        <v>569652</v>
      </c>
      <c r="Z93" s="27">
        <v>0</v>
      </c>
      <c r="AA93" s="27">
        <f>1028026-X93-Y93-Z93</f>
        <v>439455</v>
      </c>
      <c r="AB93" s="27">
        <f t="shared" si="104"/>
        <v>1028026</v>
      </c>
      <c r="AC93" s="27"/>
      <c r="AD93" s="27"/>
      <c r="AE93" s="27"/>
      <c r="AF93" s="27"/>
      <c r="AG93" s="27"/>
      <c r="AH93" s="27"/>
      <c r="AI93" s="27"/>
      <c r="AJ93" s="26"/>
      <c r="AK93" s="49"/>
      <c r="AL93" s="49"/>
      <c r="AM93" s="49"/>
      <c r="AN93" s="49"/>
      <c r="AO93" s="49"/>
      <c r="AP93" s="49"/>
      <c r="AQ93" s="27">
        <f>37317+4081</f>
        <v>41398</v>
      </c>
      <c r="AR93" s="27">
        <f>48755+5981</f>
        <v>54736</v>
      </c>
      <c r="AS93" s="27">
        <v>0</v>
      </c>
      <c r="AT93" s="27">
        <v>0</v>
      </c>
      <c r="AU93" s="27">
        <v>0</v>
      </c>
      <c r="AV93" s="27">
        <v>250000</v>
      </c>
      <c r="AW93" s="27">
        <v>1325160</v>
      </c>
      <c r="AX93" s="27">
        <f t="shared" si="93"/>
        <v>1575160</v>
      </c>
      <c r="AY93" s="27">
        <v>0</v>
      </c>
      <c r="AZ93" s="27">
        <v>350866</v>
      </c>
      <c r="BA93" s="27">
        <v>134953</v>
      </c>
      <c r="BB93" s="27">
        <v>1203062</v>
      </c>
      <c r="BC93" s="27">
        <v>1325160</v>
      </c>
      <c r="BD93" s="27">
        <f t="shared" si="103"/>
        <v>3014041</v>
      </c>
      <c r="BE93" s="29">
        <f t="shared" si="72"/>
        <v>4.5247780729591224E-3</v>
      </c>
      <c r="BF93" s="29">
        <f t="shared" si="73"/>
        <v>0.17683124109899501</v>
      </c>
      <c r="BG93" s="29">
        <f t="shared" si="74"/>
        <v>5.0100019914357335E-2</v>
      </c>
      <c r="BH93" s="42">
        <f>VLOOKUP(B93,Unemployment!$A$2:$F$193,6,0)</f>
        <v>-0.60000000000000009</v>
      </c>
      <c r="BI93" s="29">
        <f>VLOOKUP(B93,Zillow!$C$11:$R$193,16,0)</f>
        <v>-9.5079180178195485E-3</v>
      </c>
      <c r="BJ93" s="5"/>
      <c r="BK93" s="6">
        <v>10</v>
      </c>
      <c r="BL93" s="6">
        <v>40</v>
      </c>
      <c r="BM93" s="6">
        <v>30</v>
      </c>
      <c r="BN93" s="6">
        <v>10</v>
      </c>
      <c r="BO93" s="6">
        <v>10</v>
      </c>
      <c r="BP93" s="5"/>
      <c r="BQ93" s="43">
        <v>0.2</v>
      </c>
      <c r="BR93" s="43">
        <v>0.02</v>
      </c>
      <c r="BS93" s="43">
        <v>2.2000000000000002</v>
      </c>
      <c r="BT93" s="44">
        <v>0.02</v>
      </c>
      <c r="BU93" s="43">
        <v>-7.0000000000000007E-2</v>
      </c>
      <c r="BV93" s="5"/>
      <c r="BW93" s="43">
        <v>0.05</v>
      </c>
      <c r="BX93" s="43">
        <v>0.32</v>
      </c>
      <c r="BY93" s="43">
        <v>0.4</v>
      </c>
      <c r="BZ93" s="44">
        <v>0</v>
      </c>
      <c r="CA93" s="43">
        <v>0.03</v>
      </c>
      <c r="CB93" s="5"/>
      <c r="CC93" s="45">
        <f t="shared" si="75"/>
        <v>-1.5000000000000003E-2</v>
      </c>
      <c r="CD93" s="45">
        <f t="shared" si="76"/>
        <v>7.4999999999999997E-3</v>
      </c>
      <c r="CE93" s="45">
        <f t="shared" si="77"/>
        <v>-6.0000000000000012E-2</v>
      </c>
      <c r="CF93" s="46">
        <f t="shared" si="78"/>
        <v>-2E-3</v>
      </c>
      <c r="CG93" s="45">
        <f t="shared" si="79"/>
        <v>0.01</v>
      </c>
      <c r="CH93" s="5"/>
      <c r="CI93" s="44">
        <f t="shared" si="80"/>
        <v>10</v>
      </c>
      <c r="CJ93" s="44">
        <f t="shared" si="81"/>
        <v>20.91083214653267</v>
      </c>
      <c r="CK93" s="44">
        <f t="shared" si="82"/>
        <v>30</v>
      </c>
      <c r="CL93" s="44">
        <f t="shared" si="83"/>
        <v>10</v>
      </c>
      <c r="CM93" s="44">
        <f t="shared" si="84"/>
        <v>6.0492081982180457</v>
      </c>
      <c r="CN93" s="47">
        <f t="shared" si="85"/>
        <v>0</v>
      </c>
      <c r="CO93" s="5"/>
      <c r="CP93" s="47">
        <f t="shared" si="86"/>
        <v>1.2024778072959125E-2</v>
      </c>
      <c r="CQ93" s="47">
        <f t="shared" si="87"/>
        <v>8.0831241098995019E-2</v>
      </c>
      <c r="CR93" s="47">
        <f t="shared" si="88"/>
        <v>0.7701000199143575</v>
      </c>
      <c r="CS93" s="47">
        <f t="shared" si="89"/>
        <v>0.60000000000000009</v>
      </c>
      <c r="CT93" s="47">
        <f t="shared" si="90"/>
        <v>1.2507918017819548E-2</v>
      </c>
      <c r="CU93" s="47">
        <f t="shared" si="91"/>
        <v>1.4754639571041313</v>
      </c>
    </row>
    <row r="94" spans="1:99" ht="15" customHeight="1">
      <c r="A94" s="5"/>
      <c r="B94" s="37" t="s">
        <v>10</v>
      </c>
      <c r="C94" s="37" t="s">
        <v>252</v>
      </c>
      <c r="D94" s="37" t="s">
        <v>293</v>
      </c>
      <c r="E94" s="26">
        <v>42551</v>
      </c>
      <c r="F94" s="38">
        <f t="shared" si="71"/>
        <v>54.651346456819162</v>
      </c>
      <c r="G94" s="4">
        <v>39197353</v>
      </c>
      <c r="H94" s="4">
        <v>21023213</v>
      </c>
      <c r="I94" s="4">
        <v>267325019</v>
      </c>
      <c r="J94" s="4">
        <v>57158654</v>
      </c>
      <c r="K94" s="4">
        <v>-102404476</v>
      </c>
      <c r="L94" s="4">
        <f>72211784+1029011+118229+0+171608</f>
        <v>73530632</v>
      </c>
      <c r="M94" s="4">
        <v>1117159</v>
      </c>
      <c r="N94" s="4">
        <v>6960827</v>
      </c>
      <c r="O94" s="4">
        <v>44462617</v>
      </c>
      <c r="P94" s="4">
        <f>O94+N94+M94+L94</f>
        <v>126071235</v>
      </c>
      <c r="Q94" s="4">
        <v>139329611</v>
      </c>
      <c r="R94" s="4">
        <v>-13258376</v>
      </c>
      <c r="S94" s="27">
        <v>113299625</v>
      </c>
      <c r="T94" s="27">
        <v>117453695</v>
      </c>
      <c r="U94" s="27">
        <v>125612372</v>
      </c>
      <c r="V94" s="27">
        <v>145888329</v>
      </c>
      <c r="W94" s="27">
        <v>-2963762</v>
      </c>
      <c r="X94" s="27">
        <v>8565907</v>
      </c>
      <c r="Y94" s="27">
        <v>45599176</v>
      </c>
      <c r="Z94" s="27">
        <v>67476900</v>
      </c>
      <c r="AA94" s="27">
        <v>97881365</v>
      </c>
      <c r="AB94" s="27">
        <f t="shared" si="104"/>
        <v>219523348</v>
      </c>
      <c r="AC94" s="27">
        <v>67476900</v>
      </c>
      <c r="AD94" s="27">
        <v>0</v>
      </c>
      <c r="AE94" s="27">
        <f>AC94+AD94</f>
        <v>67476900</v>
      </c>
      <c r="AF94" s="27">
        <v>0</v>
      </c>
      <c r="AG94" s="27">
        <v>13287000</v>
      </c>
      <c r="AH94" s="27">
        <v>12528700</v>
      </c>
      <c r="AI94" s="27">
        <v>8471200</v>
      </c>
      <c r="AJ94" s="26">
        <v>41821</v>
      </c>
      <c r="AK94" s="39">
        <v>5054000</v>
      </c>
      <c r="AL94" s="39">
        <v>147811000</v>
      </c>
      <c r="AM94" s="39">
        <f>AL94-AK94</f>
        <v>142757000</v>
      </c>
      <c r="AN94" s="40">
        <f>AK94/AL94</f>
        <v>3.4192313156666286E-2</v>
      </c>
      <c r="AO94" s="40">
        <v>0.05</v>
      </c>
      <c r="AP94" s="40">
        <v>0.05</v>
      </c>
      <c r="AQ94" s="27">
        <f>4524800+1016600</f>
        <v>5541400</v>
      </c>
      <c r="AR94" s="27">
        <f>4177500+1024100</f>
        <v>5201600</v>
      </c>
      <c r="AS94" s="27">
        <v>0</v>
      </c>
      <c r="AT94" s="27">
        <v>0</v>
      </c>
      <c r="AU94" s="27">
        <v>0</v>
      </c>
      <c r="AV94" s="27">
        <v>3356651</v>
      </c>
      <c r="AW94" s="27">
        <v>8872075</v>
      </c>
      <c r="AX94" s="27">
        <f t="shared" si="93"/>
        <v>12228726</v>
      </c>
      <c r="AY94" s="27">
        <v>798757</v>
      </c>
      <c r="AZ94" s="27">
        <v>2577579</v>
      </c>
      <c r="BA94" s="27">
        <v>13459699</v>
      </c>
      <c r="BB94" s="27">
        <v>4942355</v>
      </c>
      <c r="BC94" s="27">
        <v>-3378383</v>
      </c>
      <c r="BD94" s="27">
        <f t="shared" ref="BD94:BD116" si="106">AY94+AZ94+BA94+BB94+BC94</f>
        <v>18400007</v>
      </c>
      <c r="BE94" s="29">
        <f t="shared" si="72"/>
        <v>4.3954515080303611E-2</v>
      </c>
      <c r="BF94" s="29">
        <f t="shared" si="73"/>
        <v>0.10411529411654524</v>
      </c>
      <c r="BG94" s="29">
        <f t="shared" si="74"/>
        <v>1.3795706213237302</v>
      </c>
      <c r="BH94" s="42">
        <f>VLOOKUP(B94,Unemployment!$A$2:$F$193,6,0)</f>
        <v>-0.79999999999999982</v>
      </c>
      <c r="BI94" s="29">
        <f>VLOOKUP(B94,Zillow!$C$11:$R$193,16,0)</f>
        <v>2.7621509300086278E-2</v>
      </c>
      <c r="BJ94" s="5"/>
      <c r="BK94" s="6">
        <v>10</v>
      </c>
      <c r="BL94" s="6">
        <v>40</v>
      </c>
      <c r="BM94" s="6">
        <v>30</v>
      </c>
      <c r="BN94" s="6">
        <v>10</v>
      </c>
      <c r="BO94" s="6">
        <v>10</v>
      </c>
      <c r="BP94" s="5"/>
      <c r="BQ94" s="43">
        <v>0.2</v>
      </c>
      <c r="BR94" s="43">
        <v>0.02</v>
      </c>
      <c r="BS94" s="43">
        <v>2.2000000000000002</v>
      </c>
      <c r="BT94" s="44">
        <v>0.02</v>
      </c>
      <c r="BU94" s="43">
        <v>-7.0000000000000007E-2</v>
      </c>
      <c r="BV94" s="5"/>
      <c r="BW94" s="43">
        <v>0.05</v>
      </c>
      <c r="BX94" s="43">
        <v>0.32</v>
      </c>
      <c r="BY94" s="43">
        <v>0.4</v>
      </c>
      <c r="BZ94" s="44">
        <v>0</v>
      </c>
      <c r="CA94" s="43">
        <v>0.03</v>
      </c>
      <c r="CB94" s="5"/>
      <c r="CC94" s="45">
        <f t="shared" si="75"/>
        <v>-1.5000000000000003E-2</v>
      </c>
      <c r="CD94" s="45">
        <f t="shared" si="76"/>
        <v>7.4999999999999997E-3</v>
      </c>
      <c r="CE94" s="45">
        <f t="shared" si="77"/>
        <v>-6.0000000000000012E-2</v>
      </c>
      <c r="CF94" s="46">
        <f t="shared" si="78"/>
        <v>-2E-3</v>
      </c>
      <c r="CG94" s="45">
        <f t="shared" si="79"/>
        <v>0.01</v>
      </c>
      <c r="CH94" s="5"/>
      <c r="CI94" s="44">
        <f t="shared" si="80"/>
        <v>10</v>
      </c>
      <c r="CJ94" s="44">
        <f t="shared" si="81"/>
        <v>11.215372548872699</v>
      </c>
      <c r="CK94" s="44">
        <f t="shared" si="82"/>
        <v>13.67382297793783</v>
      </c>
      <c r="CL94" s="44">
        <f t="shared" si="83"/>
        <v>10</v>
      </c>
      <c r="CM94" s="44">
        <f t="shared" si="84"/>
        <v>9.7621509300086284</v>
      </c>
      <c r="CN94" s="47">
        <f t="shared" si="85"/>
        <v>0</v>
      </c>
      <c r="CO94" s="5"/>
      <c r="CP94" s="47">
        <f t="shared" si="86"/>
        <v>5.145451508030361E-2</v>
      </c>
      <c r="CQ94" s="47">
        <f t="shared" si="87"/>
        <v>8.1152941165452547E-3</v>
      </c>
      <c r="CR94" s="47">
        <f t="shared" si="88"/>
        <v>2.0995706213237302</v>
      </c>
      <c r="CS94" s="47">
        <f t="shared" si="89"/>
        <v>0.79999999999999982</v>
      </c>
      <c r="CT94" s="47">
        <f t="shared" si="90"/>
        <v>2.4621509300086278E-2</v>
      </c>
      <c r="CU94" s="47">
        <f t="shared" si="91"/>
        <v>2.9837619398206652</v>
      </c>
    </row>
    <row r="95" spans="1:99" ht="15" customHeight="1">
      <c r="A95" s="5"/>
      <c r="B95" s="37" t="s">
        <v>40</v>
      </c>
      <c r="C95" s="37" t="s">
        <v>252</v>
      </c>
      <c r="D95" s="37" t="s">
        <v>258</v>
      </c>
      <c r="E95" s="26">
        <v>42551</v>
      </c>
      <c r="F95" s="38">
        <f t="shared" si="71"/>
        <v>65.36819315729872</v>
      </c>
      <c r="G95" s="4">
        <f>531480*1000-362962*1000-41310*1000</f>
        <v>127208000</v>
      </c>
      <c r="H95" s="4">
        <f>430839*1000-339105*1000-22671*1000</f>
        <v>69063000</v>
      </c>
      <c r="I95" s="4">
        <v>531480000</v>
      </c>
      <c r="J95" s="4">
        <v>130347000</v>
      </c>
      <c r="K95" s="4">
        <v>-53661000</v>
      </c>
      <c r="L95" s="4">
        <f>142392*1000</f>
        <v>142392000</v>
      </c>
      <c r="M95" s="4">
        <f>23232*1000</f>
        <v>23232000</v>
      </c>
      <c r="N95" s="4">
        <f>34024*1000</f>
        <v>34024000</v>
      </c>
      <c r="O95" s="4">
        <f>147578*1000</f>
        <v>147578000</v>
      </c>
      <c r="P95" s="4">
        <f>L95+M95+N95+O95</f>
        <v>347226000</v>
      </c>
      <c r="Q95" s="4">
        <v>329908000</v>
      </c>
      <c r="R95" s="4">
        <v>17318000</v>
      </c>
      <c r="S95" s="27">
        <f>241843000</f>
        <v>241843000</v>
      </c>
      <c r="T95" s="27">
        <v>230873000</v>
      </c>
      <c r="U95" s="27">
        <v>329995000</v>
      </c>
      <c r="V95" s="27">
        <v>318073000</v>
      </c>
      <c r="W95" s="27">
        <v>13457000</v>
      </c>
      <c r="X95" s="27">
        <f>20736*1000+1935*1000</f>
        <v>22671000</v>
      </c>
      <c r="Y95" s="27">
        <v>68790000</v>
      </c>
      <c r="Z95" s="27">
        <f t="shared" ref="Z95:AC95" si="107">1602*1000</f>
        <v>1602000</v>
      </c>
      <c r="AA95" s="27">
        <f>347286+14490-SUM(X95:Z95)</f>
        <v>-92701224</v>
      </c>
      <c r="AB95" s="27">
        <v>361776000</v>
      </c>
      <c r="AC95" s="27">
        <f t="shared" si="107"/>
        <v>1602000</v>
      </c>
      <c r="AD95" s="27">
        <v>0</v>
      </c>
      <c r="AE95" s="27">
        <f>AC95+AD95</f>
        <v>1602000</v>
      </c>
      <c r="AF95" s="27">
        <v>0</v>
      </c>
      <c r="AG95" s="27">
        <f>6052*1000</f>
        <v>6052000</v>
      </c>
      <c r="AH95" s="27">
        <f>6057*1000</f>
        <v>6057000</v>
      </c>
      <c r="AI95" s="27">
        <f>5892*1000</f>
        <v>5892000</v>
      </c>
      <c r="AJ95" s="26">
        <v>41821</v>
      </c>
      <c r="AK95" s="39">
        <f>3223*1000</f>
        <v>3223000</v>
      </c>
      <c r="AL95" s="39">
        <f>70370*1000</f>
        <v>70370000</v>
      </c>
      <c r="AM95" s="39">
        <f>67147*1000</f>
        <v>67147000</v>
      </c>
      <c r="AN95" s="40">
        <f>AK95/AL95</f>
        <v>4.5800767372459854E-2</v>
      </c>
      <c r="AO95" s="49"/>
      <c r="AP95" s="50" t="s">
        <v>294</v>
      </c>
      <c r="AQ95" s="27">
        <f>1413*1000+1459*1000</f>
        <v>2872000</v>
      </c>
      <c r="AR95" s="27">
        <f>1360*1000+888*1000</f>
        <v>2248000</v>
      </c>
      <c r="AS95" s="27">
        <v>0</v>
      </c>
      <c r="AT95" s="27">
        <v>0</v>
      </c>
      <c r="AU95" s="27">
        <v>0</v>
      </c>
      <c r="AV95" s="27">
        <v>3165000</v>
      </c>
      <c r="AW95" s="27">
        <v>25235000</v>
      </c>
      <c r="AX95" s="27">
        <f t="shared" si="93"/>
        <v>28400000</v>
      </c>
      <c r="AY95" s="27">
        <v>3033000</v>
      </c>
      <c r="AZ95" s="27">
        <v>15361000</v>
      </c>
      <c r="BA95" s="27">
        <v>4714000</v>
      </c>
      <c r="BB95" s="27">
        <v>3165000</v>
      </c>
      <c r="BC95" s="27">
        <v>-20720000</v>
      </c>
      <c r="BD95" s="27">
        <f t="shared" si="106"/>
        <v>5553000</v>
      </c>
      <c r="BE95" s="29">
        <f t="shared" si="72"/>
        <v>8.2712700085823074E-3</v>
      </c>
      <c r="BF95" s="29">
        <f t="shared" si="73"/>
        <v>0.12301135256179804</v>
      </c>
      <c r="BG95" s="29">
        <f t="shared" si="74"/>
        <v>0.8437904995593648</v>
      </c>
      <c r="BH95" s="42">
        <f>VLOOKUP(B95,Unemployment!$A$2:$F$193,6,0)</f>
        <v>-0.99999999999999911</v>
      </c>
      <c r="BI95" s="29">
        <f>VLOOKUP(B95,Zillow!$C$11:$R$193,16,0)</f>
        <v>2.0298544750483895E-2</v>
      </c>
      <c r="BJ95" s="5"/>
      <c r="BK95" s="6">
        <v>10</v>
      </c>
      <c r="BL95" s="6">
        <v>40</v>
      </c>
      <c r="BM95" s="6">
        <v>30</v>
      </c>
      <c r="BN95" s="6">
        <v>10</v>
      </c>
      <c r="BO95" s="6">
        <v>10</v>
      </c>
      <c r="BP95" s="5"/>
      <c r="BQ95" s="43">
        <v>0.2</v>
      </c>
      <c r="BR95" s="43">
        <v>0.02</v>
      </c>
      <c r="BS95" s="43">
        <v>2.2000000000000002</v>
      </c>
      <c r="BT95" s="44">
        <v>0.02</v>
      </c>
      <c r="BU95" s="43">
        <v>-7.0000000000000007E-2</v>
      </c>
      <c r="BV95" s="5"/>
      <c r="BW95" s="43">
        <v>0.05</v>
      </c>
      <c r="BX95" s="43">
        <v>0.32</v>
      </c>
      <c r="BY95" s="43">
        <v>0.4</v>
      </c>
      <c r="BZ95" s="44">
        <v>0</v>
      </c>
      <c r="CA95" s="43">
        <v>0.03</v>
      </c>
      <c r="CB95" s="5"/>
      <c r="CC95" s="45">
        <f t="shared" si="75"/>
        <v>-1.5000000000000003E-2</v>
      </c>
      <c r="CD95" s="45">
        <f t="shared" si="76"/>
        <v>7.4999999999999997E-3</v>
      </c>
      <c r="CE95" s="45">
        <f t="shared" si="77"/>
        <v>-6.0000000000000012E-2</v>
      </c>
      <c r="CF95" s="46">
        <f t="shared" si="78"/>
        <v>-2E-3</v>
      </c>
      <c r="CG95" s="45">
        <f t="shared" si="79"/>
        <v>0.01</v>
      </c>
      <c r="CH95" s="5"/>
      <c r="CI95" s="44">
        <f t="shared" si="80"/>
        <v>10</v>
      </c>
      <c r="CJ95" s="44">
        <f t="shared" si="81"/>
        <v>13.73484700823974</v>
      </c>
      <c r="CK95" s="44">
        <f t="shared" si="82"/>
        <v>22.603491674010584</v>
      </c>
      <c r="CL95" s="44">
        <f t="shared" si="83"/>
        <v>10</v>
      </c>
      <c r="CM95" s="44">
        <f t="shared" si="84"/>
        <v>9.0298544750483902</v>
      </c>
      <c r="CN95" s="47">
        <f t="shared" si="85"/>
        <v>0</v>
      </c>
      <c r="CO95" s="5"/>
      <c r="CP95" s="47">
        <f t="shared" si="86"/>
        <v>1.5771270008582309E-2</v>
      </c>
      <c r="CQ95" s="47">
        <f t="shared" si="87"/>
        <v>2.7011352561798055E-2</v>
      </c>
      <c r="CR95" s="47">
        <f t="shared" si="88"/>
        <v>1.563790499559365</v>
      </c>
      <c r="CS95" s="47">
        <f t="shared" si="89"/>
        <v>0.99999999999999911</v>
      </c>
      <c r="CT95" s="47">
        <f t="shared" si="90"/>
        <v>1.7298544750483896E-2</v>
      </c>
      <c r="CU95" s="47">
        <f t="shared" si="91"/>
        <v>2.6238716668802287</v>
      </c>
    </row>
    <row r="96" spans="1:99" ht="15" customHeight="1">
      <c r="A96" s="5"/>
      <c r="B96" s="37" t="s">
        <v>83</v>
      </c>
      <c r="C96" s="37" t="s">
        <v>252</v>
      </c>
      <c r="D96" s="37" t="s">
        <v>255</v>
      </c>
      <c r="E96" s="26">
        <v>42551</v>
      </c>
      <c r="F96" s="38">
        <f t="shared" si="71"/>
        <v>72.730510234122249</v>
      </c>
      <c r="G96" s="4">
        <f>309706954-166452650-73062169</f>
        <v>70192135</v>
      </c>
      <c r="H96" s="4">
        <f>145585053-115270142-14286695</f>
        <v>16028216</v>
      </c>
      <c r="I96" s="4">
        <v>309706954</v>
      </c>
      <c r="J96" s="4">
        <v>169218742</v>
      </c>
      <c r="K96" s="4">
        <v>52541996</v>
      </c>
      <c r="L96" s="4">
        <v>131251325</v>
      </c>
      <c r="M96" s="4">
        <v>364636</v>
      </c>
      <c r="N96" s="4">
        <v>11137535</v>
      </c>
      <c r="O96" s="4">
        <v>14871710</v>
      </c>
      <c r="P96" s="4">
        <f>L96+M96+N96+O96</f>
        <v>157625206</v>
      </c>
      <c r="Q96" s="4">
        <v>154071191</v>
      </c>
      <c r="R96" s="4">
        <v>3554015</v>
      </c>
      <c r="S96" s="27">
        <v>149972951</v>
      </c>
      <c r="T96" s="27">
        <v>147035801</v>
      </c>
      <c r="U96" s="27">
        <v>156979210</v>
      </c>
      <c r="V96" s="27">
        <v>164100057</v>
      </c>
      <c r="W96" s="27">
        <v>-1513372</v>
      </c>
      <c r="X96" s="27">
        <v>14116696</v>
      </c>
      <c r="Y96" s="27">
        <v>0</v>
      </c>
      <c r="Z96" s="27">
        <v>2998000</v>
      </c>
      <c r="AA96" s="27">
        <f>128219666-2998000-0-14116696</f>
        <v>111104970</v>
      </c>
      <c r="AB96" s="27">
        <f>SUM(X96:AA96)</f>
        <v>128219666</v>
      </c>
      <c r="AC96" s="27">
        <v>2998000</v>
      </c>
      <c r="AD96" s="27">
        <v>0</v>
      </c>
      <c r="AE96" s="27">
        <f>AC96+AD96</f>
        <v>2998000</v>
      </c>
      <c r="AF96" s="27">
        <v>0</v>
      </c>
      <c r="AG96" s="27">
        <v>2505269</v>
      </c>
      <c r="AH96" s="27">
        <v>2495410</v>
      </c>
      <c r="AI96" s="27">
        <v>1357099</v>
      </c>
      <c r="AJ96" s="50" t="s">
        <v>259</v>
      </c>
      <c r="AK96" s="39">
        <v>8215274</v>
      </c>
      <c r="AL96" s="39">
        <v>27626684</v>
      </c>
      <c r="AM96" s="39">
        <v>19411410</v>
      </c>
      <c r="AN96" s="40">
        <f>AK96/AL96</f>
        <v>0.29736735686411009</v>
      </c>
      <c r="AO96" s="40">
        <v>7.0000000000000007E-2</v>
      </c>
      <c r="AP96" s="50" t="s">
        <v>295</v>
      </c>
      <c r="AQ96" s="27">
        <v>781558</v>
      </c>
      <c r="AR96" s="27">
        <v>781558</v>
      </c>
      <c r="AS96" s="27">
        <v>739609</v>
      </c>
      <c r="AT96" s="27">
        <v>0</v>
      </c>
      <c r="AU96" s="27">
        <v>0</v>
      </c>
      <c r="AV96" s="27">
        <v>4311322</v>
      </c>
      <c r="AW96" s="27">
        <v>23912207</v>
      </c>
      <c r="AX96" s="27">
        <f t="shared" si="93"/>
        <v>28963138</v>
      </c>
      <c r="AY96" s="27">
        <v>838969</v>
      </c>
      <c r="AZ96" s="27">
        <v>927233</v>
      </c>
      <c r="BA96" s="27">
        <v>11727332</v>
      </c>
      <c r="BB96" s="27">
        <v>7504226</v>
      </c>
      <c r="BC96" s="27">
        <v>22610410</v>
      </c>
      <c r="BD96" s="27">
        <f t="shared" si="106"/>
        <v>43608170</v>
      </c>
      <c r="BE96" s="29">
        <f t="shared" si="72"/>
        <v>4.9583313470816332E-3</v>
      </c>
      <c r="BF96" s="29">
        <f t="shared" si="73"/>
        <v>0.19698017627693271</v>
      </c>
      <c r="BG96" s="29">
        <f t="shared" si="74"/>
        <v>0.81344646109455365</v>
      </c>
      <c r="BH96" s="42">
        <f>VLOOKUP(B96,Unemployment!$A$2:$F$193,6,0)</f>
        <v>-0.5</v>
      </c>
      <c r="BI96" s="29">
        <f>VLOOKUP(B96,Zillow!$C$11:$R$193,16,0)</f>
        <v>-9.7607225122621297E-3</v>
      </c>
      <c r="BJ96" s="5"/>
      <c r="BK96" s="6">
        <v>10</v>
      </c>
      <c r="BL96" s="6">
        <v>40</v>
      </c>
      <c r="BM96" s="6">
        <v>30</v>
      </c>
      <c r="BN96" s="6">
        <v>10</v>
      </c>
      <c r="BO96" s="6">
        <v>10</v>
      </c>
      <c r="BP96" s="5"/>
      <c r="BQ96" s="43">
        <v>0.2</v>
      </c>
      <c r="BR96" s="43">
        <v>0.02</v>
      </c>
      <c r="BS96" s="43">
        <v>2.2000000000000002</v>
      </c>
      <c r="BT96" s="44">
        <v>0.02</v>
      </c>
      <c r="BU96" s="43">
        <v>-7.0000000000000007E-2</v>
      </c>
      <c r="BV96" s="5"/>
      <c r="BW96" s="43">
        <v>0.05</v>
      </c>
      <c r="BX96" s="43">
        <v>0.32</v>
      </c>
      <c r="BY96" s="43">
        <v>0.4</v>
      </c>
      <c r="BZ96" s="44">
        <v>0</v>
      </c>
      <c r="CA96" s="43">
        <v>0.03</v>
      </c>
      <c r="CB96" s="5"/>
      <c r="CC96" s="45">
        <f t="shared" si="75"/>
        <v>-1.5000000000000003E-2</v>
      </c>
      <c r="CD96" s="45">
        <f t="shared" si="76"/>
        <v>7.4999999999999997E-3</v>
      </c>
      <c r="CE96" s="45">
        <f t="shared" si="77"/>
        <v>-6.0000000000000012E-2</v>
      </c>
      <c r="CF96" s="46">
        <f t="shared" si="78"/>
        <v>-2E-3</v>
      </c>
      <c r="CG96" s="45">
        <f t="shared" si="79"/>
        <v>0.01</v>
      </c>
      <c r="CH96" s="5"/>
      <c r="CI96" s="44">
        <f t="shared" si="80"/>
        <v>10</v>
      </c>
      <c r="CJ96" s="44">
        <f t="shared" si="81"/>
        <v>23.597356836924362</v>
      </c>
      <c r="CK96" s="44">
        <f t="shared" si="82"/>
        <v>23.109225648424108</v>
      </c>
      <c r="CL96" s="44">
        <f t="shared" si="83"/>
        <v>10</v>
      </c>
      <c r="CM96" s="44">
        <f t="shared" si="84"/>
        <v>6.0239277487737874</v>
      </c>
      <c r="CN96" s="47">
        <f t="shared" si="85"/>
        <v>0</v>
      </c>
      <c r="CO96" s="5"/>
      <c r="CP96" s="47">
        <f t="shared" si="86"/>
        <v>1.2458331347081636E-2</v>
      </c>
      <c r="CQ96" s="47">
        <f t="shared" si="87"/>
        <v>0.10098017627693272</v>
      </c>
      <c r="CR96" s="47">
        <f t="shared" si="88"/>
        <v>1.5334464610945537</v>
      </c>
      <c r="CS96" s="47">
        <f t="shared" si="89"/>
        <v>0.5</v>
      </c>
      <c r="CT96" s="47">
        <f t="shared" si="90"/>
        <v>1.2760722512262129E-2</v>
      </c>
      <c r="CU96" s="47">
        <f t="shared" si="91"/>
        <v>2.1596456912308302</v>
      </c>
    </row>
    <row r="97" spans="1:99" ht="15" customHeight="1">
      <c r="A97" s="5"/>
      <c r="B97" s="37" t="s">
        <v>80</v>
      </c>
      <c r="C97" s="37" t="s">
        <v>252</v>
      </c>
      <c r="D97" s="37" t="s">
        <v>255</v>
      </c>
      <c r="E97" s="26">
        <v>42551</v>
      </c>
      <c r="F97" s="38">
        <f t="shared" si="71"/>
        <v>72.273069752106224</v>
      </c>
      <c r="G97" s="4">
        <f>119822390-88546813-7728387</f>
        <v>23547190</v>
      </c>
      <c r="H97" s="4">
        <f>30002553-24526422-2023264</f>
        <v>3452867</v>
      </c>
      <c r="I97" s="4">
        <v>119822390</v>
      </c>
      <c r="J97" s="4">
        <v>88741106</v>
      </c>
      <c r="K97" s="4">
        <v>13633248</v>
      </c>
      <c r="L97" s="4">
        <v>45537501</v>
      </c>
      <c r="M97" s="4">
        <v>113690</v>
      </c>
      <c r="N97" s="4">
        <v>4784941</v>
      </c>
      <c r="O97" s="4">
        <v>10556106</v>
      </c>
      <c r="P97" s="4">
        <f>L97+M97+N97+O97</f>
        <v>60992238</v>
      </c>
      <c r="Q97" s="4">
        <v>60068124</v>
      </c>
      <c r="R97" s="4">
        <v>924114</v>
      </c>
      <c r="S97" s="27">
        <v>57272490</v>
      </c>
      <c r="T97" s="27">
        <v>56414857</v>
      </c>
      <c r="U97" s="27">
        <v>60414861</v>
      </c>
      <c r="V97" s="27">
        <v>59911679</v>
      </c>
      <c r="W97" s="27">
        <v>-125041</v>
      </c>
      <c r="X97" s="27">
        <v>2023264</v>
      </c>
      <c r="Y97" s="27">
        <v>1660672</v>
      </c>
      <c r="Z97" s="27">
        <v>810384</v>
      </c>
      <c r="AA97" s="27">
        <f>26549686-810384-1660672-2023264</f>
        <v>22055366</v>
      </c>
      <c r="AB97" s="27">
        <f>SUM(X97:AA97)</f>
        <v>26549686</v>
      </c>
      <c r="AC97" s="27">
        <v>810384</v>
      </c>
      <c r="AD97" s="27">
        <v>0</v>
      </c>
      <c r="AE97" s="27">
        <f>AC97+AD97</f>
        <v>810384</v>
      </c>
      <c r="AF97" s="27">
        <v>0</v>
      </c>
      <c r="AG97" s="27">
        <v>571103</v>
      </c>
      <c r="AH97" s="27">
        <v>576215</v>
      </c>
      <c r="AI97" s="27">
        <v>571386</v>
      </c>
      <c r="AJ97" s="50" t="s">
        <v>260</v>
      </c>
      <c r="AK97" s="39">
        <v>1178014</v>
      </c>
      <c r="AL97" s="39">
        <v>6818066</v>
      </c>
      <c r="AM97" s="39">
        <v>5640052</v>
      </c>
      <c r="AN97" s="40">
        <f>AK97/AL97</f>
        <v>0.17277832159442283</v>
      </c>
      <c r="AO97" s="40">
        <v>7.0000000000000007E-2</v>
      </c>
      <c r="AP97" s="50" t="s">
        <v>296</v>
      </c>
      <c r="AQ97" s="27">
        <f>302287+293885</f>
        <v>596172</v>
      </c>
      <c r="AR97" s="27">
        <f>302287+294000</f>
        <v>596287</v>
      </c>
      <c r="AS97" s="27">
        <v>15268</v>
      </c>
      <c r="AT97" s="27">
        <v>0</v>
      </c>
      <c r="AU97" s="27">
        <v>0</v>
      </c>
      <c r="AV97" s="27">
        <v>887141</v>
      </c>
      <c r="AW97" s="27">
        <v>6240019</v>
      </c>
      <c r="AX97" s="27">
        <f t="shared" si="93"/>
        <v>7142428</v>
      </c>
      <c r="AY97" s="27">
        <v>43284</v>
      </c>
      <c r="AZ97" s="27">
        <v>1933202</v>
      </c>
      <c r="BA97" s="27">
        <v>2537367</v>
      </c>
      <c r="BB97" s="27">
        <v>2154150</v>
      </c>
      <c r="BC97" s="27">
        <v>5942929</v>
      </c>
      <c r="BD97" s="27">
        <f t="shared" si="106"/>
        <v>12610932</v>
      </c>
      <c r="BE97" s="29">
        <f t="shared" si="72"/>
        <v>9.7745552475054284E-3</v>
      </c>
      <c r="BF97" s="29">
        <f t="shared" si="73"/>
        <v>0.12660544366885482</v>
      </c>
      <c r="BG97" s="29">
        <f t="shared" si="74"/>
        <v>0.40806854800114073</v>
      </c>
      <c r="BH97" s="42">
        <f>VLOOKUP(B97,Unemployment!$A$2:$F$193,6,0)</f>
        <v>-0.40000000000000036</v>
      </c>
      <c r="BI97" s="29">
        <f>VLOOKUP(B97,Zillow!$C$11:$R$193,16,0)</f>
        <v>1.1934863962779348E-2</v>
      </c>
      <c r="BJ97" s="5"/>
      <c r="BK97" s="6">
        <v>10</v>
      </c>
      <c r="BL97" s="6">
        <v>40</v>
      </c>
      <c r="BM97" s="6">
        <v>30</v>
      </c>
      <c r="BN97" s="6">
        <v>10</v>
      </c>
      <c r="BO97" s="6">
        <v>10</v>
      </c>
      <c r="BP97" s="5"/>
      <c r="BQ97" s="43">
        <v>0.2</v>
      </c>
      <c r="BR97" s="43">
        <v>0.02</v>
      </c>
      <c r="BS97" s="43">
        <v>2.2000000000000002</v>
      </c>
      <c r="BT97" s="44">
        <v>0.02</v>
      </c>
      <c r="BU97" s="43">
        <v>-7.0000000000000007E-2</v>
      </c>
      <c r="BV97" s="5"/>
      <c r="BW97" s="43">
        <v>0.05</v>
      </c>
      <c r="BX97" s="43">
        <v>0.32</v>
      </c>
      <c r="BY97" s="43">
        <v>0.4</v>
      </c>
      <c r="BZ97" s="44">
        <v>0</v>
      </c>
      <c r="CA97" s="43">
        <v>0.03</v>
      </c>
      <c r="CB97" s="5"/>
      <c r="CC97" s="45">
        <f t="shared" si="75"/>
        <v>-1.5000000000000003E-2</v>
      </c>
      <c r="CD97" s="45">
        <f t="shared" si="76"/>
        <v>7.4999999999999997E-3</v>
      </c>
      <c r="CE97" s="45">
        <f t="shared" si="77"/>
        <v>-6.0000000000000012E-2</v>
      </c>
      <c r="CF97" s="46">
        <f t="shared" si="78"/>
        <v>-2E-3</v>
      </c>
      <c r="CG97" s="45">
        <f t="shared" si="79"/>
        <v>0.01</v>
      </c>
      <c r="CH97" s="5"/>
      <c r="CI97" s="44">
        <f t="shared" si="80"/>
        <v>10</v>
      </c>
      <c r="CJ97" s="44">
        <f t="shared" si="81"/>
        <v>14.214059155847309</v>
      </c>
      <c r="CK97" s="44">
        <f t="shared" si="82"/>
        <v>29.865524199980985</v>
      </c>
      <c r="CL97" s="44">
        <f t="shared" si="83"/>
        <v>10</v>
      </c>
      <c r="CM97" s="44">
        <f t="shared" si="84"/>
        <v>8.193486396277935</v>
      </c>
      <c r="CN97" s="47">
        <f t="shared" si="85"/>
        <v>0</v>
      </c>
      <c r="CO97" s="5"/>
      <c r="CP97" s="47">
        <f t="shared" si="86"/>
        <v>1.727455524750543E-2</v>
      </c>
      <c r="CQ97" s="47">
        <f t="shared" si="87"/>
        <v>3.0605443668854829E-2</v>
      </c>
      <c r="CR97" s="47">
        <f t="shared" si="88"/>
        <v>1.128068548001141</v>
      </c>
      <c r="CS97" s="47">
        <f t="shared" si="89"/>
        <v>0.40000000000000036</v>
      </c>
      <c r="CT97" s="47">
        <f t="shared" si="90"/>
        <v>8.9348639627793488E-3</v>
      </c>
      <c r="CU97" s="47">
        <f t="shared" si="91"/>
        <v>1.584883410880281</v>
      </c>
    </row>
    <row r="98" spans="1:99" ht="15" customHeight="1">
      <c r="A98" s="5"/>
      <c r="B98" s="37" t="s">
        <v>112</v>
      </c>
      <c r="C98" s="37" t="s">
        <v>252</v>
      </c>
      <c r="D98" s="37" t="s">
        <v>255</v>
      </c>
      <c r="E98" s="26">
        <v>42551</v>
      </c>
      <c r="F98" s="38">
        <f t="shared" si="71"/>
        <v>76.299405916406059</v>
      </c>
      <c r="G98" s="4">
        <v>6127217</v>
      </c>
      <c r="H98" s="4">
        <v>1446785</v>
      </c>
      <c r="I98" s="4">
        <v>34938765</v>
      </c>
      <c r="J98" s="4">
        <v>23548175</v>
      </c>
      <c r="K98" s="4">
        <v>3246258</v>
      </c>
      <c r="L98" s="4">
        <v>19379034</v>
      </c>
      <c r="M98" s="4">
        <v>549794</v>
      </c>
      <c r="N98" s="4">
        <v>1331544</v>
      </c>
      <c r="O98" s="4">
        <v>4728849</v>
      </c>
      <c r="P98" s="4">
        <f>O98+N98+M98+L98</f>
        <v>25989221</v>
      </c>
      <c r="Q98" s="4">
        <v>25675306</v>
      </c>
      <c r="R98" s="4">
        <v>313915</v>
      </c>
      <c r="S98" s="27">
        <v>24775920</v>
      </c>
      <c r="T98" s="27">
        <v>25484098</v>
      </c>
      <c r="U98" s="27">
        <v>25186515</v>
      </c>
      <c r="V98" s="27">
        <v>26395877</v>
      </c>
      <c r="W98" s="27">
        <v>937528</v>
      </c>
      <c r="X98" s="27">
        <f>566785+16783</f>
        <v>583568</v>
      </c>
      <c r="Y98" s="27">
        <v>1654532</v>
      </c>
      <c r="Z98" s="27">
        <v>0</v>
      </c>
      <c r="AA98" s="27">
        <v>8277662</v>
      </c>
      <c r="AB98" s="27">
        <f t="shared" ref="AB98:AB103" si="108">X98+Y98+Z98+AA98</f>
        <v>10515762</v>
      </c>
      <c r="AC98" s="27"/>
      <c r="AD98" s="27"/>
      <c r="AE98" s="27"/>
      <c r="AF98" s="27"/>
      <c r="AG98" s="27"/>
      <c r="AH98" s="27"/>
      <c r="AI98" s="27"/>
      <c r="AJ98" s="26"/>
      <c r="AK98" s="49"/>
      <c r="AL98" s="49"/>
      <c r="AM98" s="49"/>
      <c r="AN98" s="49"/>
      <c r="AO98" s="40"/>
      <c r="AP98" s="40"/>
      <c r="AQ98" s="27">
        <v>257906</v>
      </c>
      <c r="AR98" s="27">
        <v>263543</v>
      </c>
      <c r="AS98" s="27">
        <v>0</v>
      </c>
      <c r="AT98" s="27">
        <v>17901</v>
      </c>
      <c r="AU98" s="27">
        <v>0</v>
      </c>
      <c r="AV98" s="27">
        <v>422333</v>
      </c>
      <c r="AW98" s="27">
        <v>3503811</v>
      </c>
      <c r="AX98" s="27">
        <f t="shared" si="93"/>
        <v>3944045</v>
      </c>
      <c r="AY98" s="27">
        <f>2290+416158</f>
        <v>418448</v>
      </c>
      <c r="AZ98" s="27">
        <f>17901+4125+6413+105104+71492+5723</f>
        <v>210758</v>
      </c>
      <c r="BA98" s="27">
        <f>263675+46927+1000+98343</f>
        <v>409945</v>
      </c>
      <c r="BB98" s="27">
        <v>422333</v>
      </c>
      <c r="BC98" s="27">
        <v>3496557</v>
      </c>
      <c r="BD98" s="27">
        <f t="shared" si="106"/>
        <v>4958041</v>
      </c>
      <c r="BE98" s="29">
        <f t="shared" si="72"/>
        <v>9.9235756239096206E-3</v>
      </c>
      <c r="BF98" s="29">
        <f t="shared" si="73"/>
        <v>0.15476494400547353</v>
      </c>
      <c r="BG98" s="29">
        <f t="shared" si="74"/>
        <v>0.34095789173519281</v>
      </c>
      <c r="BH98" s="42">
        <f>VLOOKUP(B98,Unemployment!$A$2:$F$193,6,0)</f>
        <v>-0.40000000000000036</v>
      </c>
      <c r="BI98" s="29">
        <f>VLOOKUP(B98,Zillow!$C$11:$R$193,16,0)</f>
        <v>1.3307467156762565E-2</v>
      </c>
      <c r="BJ98" s="5"/>
      <c r="BK98" s="6">
        <v>10</v>
      </c>
      <c r="BL98" s="6">
        <v>40</v>
      </c>
      <c r="BM98" s="6">
        <v>30</v>
      </c>
      <c r="BN98" s="6">
        <v>10</v>
      </c>
      <c r="BO98" s="6">
        <v>10</v>
      </c>
      <c r="BP98" s="5"/>
      <c r="BQ98" s="43">
        <v>0.2</v>
      </c>
      <c r="BR98" s="43">
        <v>0.02</v>
      </c>
      <c r="BS98" s="43">
        <v>2.2000000000000002</v>
      </c>
      <c r="BT98" s="44">
        <v>0.02</v>
      </c>
      <c r="BU98" s="43">
        <v>-7.0000000000000007E-2</v>
      </c>
      <c r="BV98" s="5"/>
      <c r="BW98" s="43">
        <v>0.05</v>
      </c>
      <c r="BX98" s="43">
        <v>0.32</v>
      </c>
      <c r="BY98" s="43">
        <v>0.4</v>
      </c>
      <c r="BZ98" s="44">
        <v>0</v>
      </c>
      <c r="CA98" s="43">
        <v>0.03</v>
      </c>
      <c r="CB98" s="5"/>
      <c r="CC98" s="45">
        <f t="shared" si="75"/>
        <v>-1.5000000000000003E-2</v>
      </c>
      <c r="CD98" s="45">
        <f t="shared" si="76"/>
        <v>7.4999999999999997E-3</v>
      </c>
      <c r="CE98" s="45">
        <f t="shared" si="77"/>
        <v>-6.0000000000000012E-2</v>
      </c>
      <c r="CF98" s="46">
        <f t="shared" si="78"/>
        <v>-2E-3</v>
      </c>
      <c r="CG98" s="45">
        <f t="shared" si="79"/>
        <v>0.01</v>
      </c>
      <c r="CH98" s="5"/>
      <c r="CI98" s="44">
        <f t="shared" si="80"/>
        <v>10</v>
      </c>
      <c r="CJ98" s="44">
        <f t="shared" si="81"/>
        <v>17.968659200729807</v>
      </c>
      <c r="CK98" s="44">
        <f t="shared" si="82"/>
        <v>30</v>
      </c>
      <c r="CL98" s="44">
        <f t="shared" si="83"/>
        <v>10</v>
      </c>
      <c r="CM98" s="44">
        <f t="shared" si="84"/>
        <v>8.3307467156762574</v>
      </c>
      <c r="CN98" s="47">
        <f t="shared" si="85"/>
        <v>0</v>
      </c>
      <c r="CO98" s="5"/>
      <c r="CP98" s="47">
        <f t="shared" si="86"/>
        <v>1.7423575623909622E-2</v>
      </c>
      <c r="CQ98" s="47">
        <f t="shared" si="87"/>
        <v>5.8764944005473538E-2</v>
      </c>
      <c r="CR98" s="47">
        <f t="shared" si="88"/>
        <v>1.0609578917351929</v>
      </c>
      <c r="CS98" s="47">
        <f t="shared" si="89"/>
        <v>0.40000000000000036</v>
      </c>
      <c r="CT98" s="47">
        <f t="shared" si="90"/>
        <v>1.0307467156762565E-2</v>
      </c>
      <c r="CU98" s="47">
        <f t="shared" si="91"/>
        <v>1.5474538785213392</v>
      </c>
    </row>
    <row r="99" spans="1:99" ht="15" customHeight="1">
      <c r="A99" s="5"/>
      <c r="B99" s="48" t="s">
        <v>5</v>
      </c>
      <c r="C99" s="37" t="s">
        <v>252</v>
      </c>
      <c r="D99" s="37" t="s">
        <v>258</v>
      </c>
      <c r="E99" s="26">
        <v>42551</v>
      </c>
      <c r="F99" s="38">
        <f t="shared" si="71"/>
        <v>48.189017098389357</v>
      </c>
      <c r="G99" s="55">
        <v>231397514</v>
      </c>
      <c r="H99" s="55">
        <v>92962360</v>
      </c>
      <c r="I99" s="55">
        <v>1767481024</v>
      </c>
      <c r="J99" s="55">
        <v>216082462</v>
      </c>
      <c r="K99" s="55">
        <v>-751198488</v>
      </c>
      <c r="L99" s="55">
        <v>309699766</v>
      </c>
      <c r="M99" s="55">
        <v>75476816</v>
      </c>
      <c r="N99" s="55">
        <v>33808934</v>
      </c>
      <c r="O99" s="55">
        <v>396220688</v>
      </c>
      <c r="P99" s="4">
        <f>O99+N99+M99+L99</f>
        <v>815206204</v>
      </c>
      <c r="Q99" s="55">
        <v>814875700</v>
      </c>
      <c r="R99" s="55">
        <v>330504</v>
      </c>
      <c r="S99" s="55">
        <v>541928552</v>
      </c>
      <c r="T99" s="55">
        <v>545931996</v>
      </c>
      <c r="U99" s="55">
        <v>811296669</v>
      </c>
      <c r="V99" s="55">
        <v>871959136</v>
      </c>
      <c r="W99" s="55">
        <v>10453750</v>
      </c>
      <c r="X99" s="55">
        <v>131398849</v>
      </c>
      <c r="Y99" s="55">
        <v>704400931</v>
      </c>
      <c r="Z99" s="55">
        <v>146707000</v>
      </c>
      <c r="AA99" s="27">
        <v>570326425</v>
      </c>
      <c r="AB99" s="27">
        <f t="shared" si="108"/>
        <v>1552833205</v>
      </c>
      <c r="AC99" s="55">
        <v>146707000</v>
      </c>
      <c r="AD99" s="55">
        <v>0</v>
      </c>
      <c r="AE99" s="55">
        <f>AC99+AD99</f>
        <v>146707000</v>
      </c>
      <c r="AF99" s="55">
        <v>0</v>
      </c>
      <c r="AG99" s="55">
        <v>37673000</v>
      </c>
      <c r="AH99" s="55">
        <v>36010700</v>
      </c>
      <c r="AI99" s="55">
        <v>28303000</v>
      </c>
      <c r="AJ99" s="26">
        <v>42186</v>
      </c>
      <c r="AK99" s="56">
        <v>338000</v>
      </c>
      <c r="AL99" s="56">
        <v>557227000</v>
      </c>
      <c r="AM99" s="56">
        <v>556889000</v>
      </c>
      <c r="AN99" s="40">
        <v>1E-3</v>
      </c>
      <c r="AO99" s="57">
        <v>8.5000000000000006E-2</v>
      </c>
      <c r="AP99" s="57">
        <v>0.03</v>
      </c>
      <c r="AQ99" s="55">
        <v>45811913</v>
      </c>
      <c r="AR99" s="55">
        <v>45861672</v>
      </c>
      <c r="AS99" s="55">
        <v>0</v>
      </c>
      <c r="AT99" s="55">
        <v>0</v>
      </c>
      <c r="AU99" s="27">
        <v>0</v>
      </c>
      <c r="AV99" s="55">
        <v>0</v>
      </c>
      <c r="AW99" s="55">
        <v>2023605</v>
      </c>
      <c r="AX99" s="27">
        <f t="shared" si="93"/>
        <v>2023605</v>
      </c>
      <c r="AY99" s="55">
        <v>2433271</v>
      </c>
      <c r="AZ99" s="55">
        <v>58876699</v>
      </c>
      <c r="BA99" s="55">
        <v>0</v>
      </c>
      <c r="BB99" s="55">
        <v>0</v>
      </c>
      <c r="BC99" s="55">
        <v>2023605</v>
      </c>
      <c r="BD99" s="27">
        <f t="shared" si="106"/>
        <v>63333575</v>
      </c>
      <c r="BE99" s="29">
        <f t="shared" si="72"/>
        <v>5.6196717806136817E-2</v>
      </c>
      <c r="BF99" s="29">
        <f t="shared" si="73"/>
        <v>3.7066979309269134E-3</v>
      </c>
      <c r="BG99" s="29">
        <f t="shared" si="74"/>
        <v>1.0407578718574129</v>
      </c>
      <c r="BH99" s="42">
        <f>VLOOKUP(B99,Unemployment!$A$2:$F$193,6,0)</f>
        <v>-1</v>
      </c>
      <c r="BI99" s="29">
        <f>VLOOKUP(B99,Zillow!$C$11:$R$193,16,0)</f>
        <v>2.2814294830887046E-2</v>
      </c>
      <c r="BJ99" s="5"/>
      <c r="BK99" s="6">
        <v>10</v>
      </c>
      <c r="BL99" s="6">
        <v>40</v>
      </c>
      <c r="BM99" s="6">
        <v>30</v>
      </c>
      <c r="BN99" s="6">
        <v>10</v>
      </c>
      <c r="BO99" s="6">
        <v>10</v>
      </c>
      <c r="BP99" s="5"/>
      <c r="BQ99" s="43">
        <v>0.2</v>
      </c>
      <c r="BR99" s="43">
        <v>0.02</v>
      </c>
      <c r="BS99" s="43">
        <v>2.2000000000000002</v>
      </c>
      <c r="BT99" s="44">
        <v>0.02</v>
      </c>
      <c r="BU99" s="43">
        <v>-7.0000000000000007E-2</v>
      </c>
      <c r="BV99" s="5"/>
      <c r="BW99" s="43">
        <v>0.05</v>
      </c>
      <c r="BX99" s="43">
        <v>0.32</v>
      </c>
      <c r="BY99" s="43">
        <v>0.4</v>
      </c>
      <c r="BZ99" s="44">
        <v>0</v>
      </c>
      <c r="CA99" s="43">
        <v>0.03</v>
      </c>
      <c r="CB99" s="5"/>
      <c r="CC99" s="45">
        <f t="shared" si="75"/>
        <v>-1.5000000000000003E-2</v>
      </c>
      <c r="CD99" s="45">
        <f t="shared" si="76"/>
        <v>7.4999999999999997E-3</v>
      </c>
      <c r="CE99" s="45">
        <f t="shared" si="77"/>
        <v>-6.0000000000000012E-2</v>
      </c>
      <c r="CF99" s="46">
        <f t="shared" si="78"/>
        <v>-2E-3</v>
      </c>
      <c r="CG99" s="45">
        <f t="shared" si="79"/>
        <v>0.01</v>
      </c>
      <c r="CH99" s="5"/>
      <c r="CI99" s="44">
        <f t="shared" si="80"/>
        <v>9.586885479590876</v>
      </c>
      <c r="CJ99" s="44">
        <f t="shared" si="81"/>
        <v>0</v>
      </c>
      <c r="CK99" s="44">
        <f t="shared" si="82"/>
        <v>19.320702135709784</v>
      </c>
      <c r="CL99" s="44">
        <f t="shared" si="83"/>
        <v>10</v>
      </c>
      <c r="CM99" s="44">
        <f t="shared" si="84"/>
        <v>9.2814294830887043</v>
      </c>
      <c r="CN99" s="47">
        <f t="shared" si="85"/>
        <v>0</v>
      </c>
      <c r="CO99" s="5"/>
      <c r="CP99" s="47">
        <f t="shared" si="86"/>
        <v>6.3696717806136824E-2</v>
      </c>
      <c r="CQ99" s="47">
        <f t="shared" si="87"/>
        <v>9.2293302069073074E-2</v>
      </c>
      <c r="CR99" s="47">
        <f t="shared" si="88"/>
        <v>1.7607578718574131</v>
      </c>
      <c r="CS99" s="47">
        <f t="shared" si="89"/>
        <v>1</v>
      </c>
      <c r="CT99" s="47">
        <f t="shared" si="90"/>
        <v>1.9814294830887046E-2</v>
      </c>
      <c r="CU99" s="47">
        <f t="shared" si="91"/>
        <v>2.9365621865635099</v>
      </c>
    </row>
    <row r="100" spans="1:99" ht="15" customHeight="1">
      <c r="A100" s="5"/>
      <c r="B100" s="37" t="s">
        <v>13</v>
      </c>
      <c r="C100" s="37" t="s">
        <v>252</v>
      </c>
      <c r="D100" s="37" t="s">
        <v>258</v>
      </c>
      <c r="E100" s="50" t="s">
        <v>263</v>
      </c>
      <c r="F100" s="38">
        <f t="shared" si="71"/>
        <v>58.375282082944018</v>
      </c>
      <c r="G100" s="4">
        <v>48016143</v>
      </c>
      <c r="H100" s="4">
        <v>46814287</v>
      </c>
      <c r="I100" s="4">
        <v>425662601</v>
      </c>
      <c r="J100" s="4">
        <v>273022261</v>
      </c>
      <c r="K100" s="4">
        <v>-34021347</v>
      </c>
      <c r="L100" s="4">
        <f>49908495+8612399+572382+397655</f>
        <v>59490931</v>
      </c>
      <c r="M100" s="4">
        <v>2387812</v>
      </c>
      <c r="N100" s="4">
        <v>25305184</v>
      </c>
      <c r="O100" s="4">
        <v>54232519</v>
      </c>
      <c r="P100" s="4">
        <f>L100+M100+N100+O100</f>
        <v>141416446</v>
      </c>
      <c r="Q100" s="4">
        <v>179258190</v>
      </c>
      <c r="R100" s="4">
        <v>-37841744</v>
      </c>
      <c r="S100" s="27">
        <v>91139131</v>
      </c>
      <c r="T100" s="27">
        <v>85615161</v>
      </c>
      <c r="U100" s="27">
        <v>123190763</v>
      </c>
      <c r="V100" s="27">
        <v>131080500</v>
      </c>
      <c r="W100" s="27">
        <v>505494</v>
      </c>
      <c r="X100" s="27">
        <v>6033683</v>
      </c>
      <c r="Y100" s="27">
        <v>23810078</v>
      </c>
      <c r="Z100" s="27">
        <v>8987402</v>
      </c>
      <c r="AA100" s="27">
        <f>110513213-8987402-23810078-6033683</f>
        <v>71682050</v>
      </c>
      <c r="AB100" s="27">
        <f t="shared" si="108"/>
        <v>110513213</v>
      </c>
      <c r="AC100" s="27">
        <v>8987402</v>
      </c>
      <c r="AD100" s="27">
        <v>0</v>
      </c>
      <c r="AE100" s="27">
        <f>AC100+AD100</f>
        <v>8987402</v>
      </c>
      <c r="AF100" s="27">
        <v>0</v>
      </c>
      <c r="AG100" s="27">
        <v>2017079</v>
      </c>
      <c r="AH100" s="27">
        <v>1942175</v>
      </c>
      <c r="AI100" s="27">
        <v>1363311</v>
      </c>
      <c r="AJ100" s="50" t="s">
        <v>259</v>
      </c>
      <c r="AK100" s="39">
        <v>268312</v>
      </c>
      <c r="AL100" s="39">
        <v>25888384</v>
      </c>
      <c r="AM100" s="39">
        <f>AL100-AK100</f>
        <v>25620072</v>
      </c>
      <c r="AN100" s="40">
        <f>AK100/AL100</f>
        <v>1.0364184956465418E-2</v>
      </c>
      <c r="AO100" s="40">
        <v>0.04</v>
      </c>
      <c r="AP100" s="49"/>
      <c r="AQ100" s="27">
        <f>819000+903000</f>
        <v>1722000</v>
      </c>
      <c r="AR100" s="27">
        <f>716518+525279</f>
        <v>1241797</v>
      </c>
      <c r="AS100" s="27">
        <v>0</v>
      </c>
      <c r="AT100" s="27">
        <v>0</v>
      </c>
      <c r="AU100" s="27">
        <v>0</v>
      </c>
      <c r="AV100" s="27">
        <v>24694</v>
      </c>
      <c r="AW100" s="27">
        <v>4725789</v>
      </c>
      <c r="AX100" s="27">
        <f t="shared" si="93"/>
        <v>4750483</v>
      </c>
      <c r="AY100" s="27">
        <v>0</v>
      </c>
      <c r="AZ100" s="27">
        <v>1561799</v>
      </c>
      <c r="BA100" s="27">
        <v>1274533</v>
      </c>
      <c r="BB100" s="27">
        <v>1984090</v>
      </c>
      <c r="BC100" s="27">
        <v>-2019616</v>
      </c>
      <c r="BD100" s="27">
        <f t="shared" si="106"/>
        <v>2800806</v>
      </c>
      <c r="BE100" s="29">
        <f t="shared" si="72"/>
        <v>1.2176801558144093E-2</v>
      </c>
      <c r="BF100" s="29">
        <f t="shared" si="73"/>
        <v>5.5486469271488023E-2</v>
      </c>
      <c r="BG100" s="29">
        <f t="shared" si="74"/>
        <v>0.61310503447385467</v>
      </c>
      <c r="BH100" s="42">
        <f>VLOOKUP(B100,Unemployment!$A$2:$F$193,6,0)</f>
        <v>-1.2000000000000002</v>
      </c>
      <c r="BI100" s="29">
        <f>VLOOKUP(B100,Zillow!$C$11:$R$193,16,0)</f>
        <v>1.9550342130985952E-3</v>
      </c>
      <c r="BJ100" s="5"/>
      <c r="BK100" s="6">
        <v>10</v>
      </c>
      <c r="BL100" s="6">
        <v>40</v>
      </c>
      <c r="BM100" s="6">
        <v>30</v>
      </c>
      <c r="BN100" s="6">
        <v>10</v>
      </c>
      <c r="BO100" s="6">
        <v>10</v>
      </c>
      <c r="BP100" s="5"/>
      <c r="BQ100" s="43">
        <v>0.2</v>
      </c>
      <c r="BR100" s="43">
        <v>0.02</v>
      </c>
      <c r="BS100" s="43">
        <v>2.2000000000000002</v>
      </c>
      <c r="BT100" s="44">
        <v>0.02</v>
      </c>
      <c r="BU100" s="43">
        <v>-7.0000000000000007E-2</v>
      </c>
      <c r="BV100" s="5"/>
      <c r="BW100" s="43">
        <v>0.05</v>
      </c>
      <c r="BX100" s="43">
        <v>0.32</v>
      </c>
      <c r="BY100" s="43">
        <v>0.4</v>
      </c>
      <c r="BZ100" s="44">
        <v>0</v>
      </c>
      <c r="CA100" s="43">
        <v>0.03</v>
      </c>
      <c r="CB100" s="5"/>
      <c r="CC100" s="45">
        <f t="shared" si="75"/>
        <v>-1.5000000000000003E-2</v>
      </c>
      <c r="CD100" s="45">
        <f t="shared" si="76"/>
        <v>7.4999999999999997E-3</v>
      </c>
      <c r="CE100" s="45">
        <f t="shared" si="77"/>
        <v>-6.0000000000000012E-2</v>
      </c>
      <c r="CF100" s="46">
        <f t="shared" si="78"/>
        <v>-2E-3</v>
      </c>
      <c r="CG100" s="45">
        <f t="shared" si="79"/>
        <v>0.01</v>
      </c>
      <c r="CH100" s="5"/>
      <c r="CI100" s="44">
        <f t="shared" si="80"/>
        <v>10</v>
      </c>
      <c r="CJ100" s="44">
        <f t="shared" si="81"/>
        <v>4.7315292361984032</v>
      </c>
      <c r="CK100" s="44">
        <f t="shared" si="82"/>
        <v>26.448249425435755</v>
      </c>
      <c r="CL100" s="44">
        <f t="shared" si="83"/>
        <v>10</v>
      </c>
      <c r="CM100" s="44">
        <f t="shared" si="84"/>
        <v>7.1955034213098594</v>
      </c>
      <c r="CN100" s="47">
        <f t="shared" si="85"/>
        <v>0</v>
      </c>
      <c r="CO100" s="5"/>
      <c r="CP100" s="47">
        <f t="shared" si="86"/>
        <v>1.9676801558144094E-2</v>
      </c>
      <c r="CQ100" s="47">
        <f t="shared" si="87"/>
        <v>4.0513530728511965E-2</v>
      </c>
      <c r="CR100" s="47">
        <f t="shared" si="88"/>
        <v>1.3331050344738549</v>
      </c>
      <c r="CS100" s="47">
        <f t="shared" si="89"/>
        <v>1.2000000000000002</v>
      </c>
      <c r="CT100" s="47">
        <f t="shared" si="90"/>
        <v>1.0449657869014044E-3</v>
      </c>
      <c r="CU100" s="47">
        <f t="shared" si="91"/>
        <v>2.5943403325474126</v>
      </c>
    </row>
    <row r="101" spans="1:99" ht="15" customHeight="1">
      <c r="A101" s="5"/>
      <c r="B101" s="37" t="s">
        <v>136</v>
      </c>
      <c r="C101" s="37" t="s">
        <v>252</v>
      </c>
      <c r="D101" s="37" t="s">
        <v>255</v>
      </c>
      <c r="E101" s="26">
        <v>42551</v>
      </c>
      <c r="F101" s="38">
        <f t="shared" si="71"/>
        <v>80.143180096012941</v>
      </c>
      <c r="G101" s="4">
        <f>249234814-173189818</f>
        <v>76044996</v>
      </c>
      <c r="H101" s="4">
        <f>82814422-60585515</f>
        <v>22228907</v>
      </c>
      <c r="I101" s="4">
        <v>249234814</v>
      </c>
      <c r="J101" s="4">
        <v>171668343</v>
      </c>
      <c r="K101" s="4">
        <v>39227308</v>
      </c>
      <c r="L101" s="4">
        <v>78717983</v>
      </c>
      <c r="M101" s="4">
        <v>3806351</v>
      </c>
      <c r="N101" s="4">
        <v>11729546</v>
      </c>
      <c r="O101" s="4">
        <v>22688544</v>
      </c>
      <c r="P101" s="4">
        <f>O101+N101+M101+L101</f>
        <v>116942424</v>
      </c>
      <c r="Q101" s="4">
        <v>117210306</v>
      </c>
      <c r="R101" s="4">
        <v>-267882</v>
      </c>
      <c r="S101" s="27">
        <v>107749832</v>
      </c>
      <c r="T101" s="27">
        <v>106116793</v>
      </c>
      <c r="U101" s="27">
        <v>115105978</v>
      </c>
      <c r="V101" s="27">
        <v>118153383</v>
      </c>
      <c r="W101" s="27">
        <v>225373</v>
      </c>
      <c r="X101" s="27">
        <v>6166904</v>
      </c>
      <c r="Y101" s="27">
        <v>18541676</v>
      </c>
      <c r="Z101" s="27">
        <v>2891000</v>
      </c>
      <c r="AA101" s="27">
        <v>32985935</v>
      </c>
      <c r="AB101" s="27">
        <f t="shared" si="108"/>
        <v>60585515</v>
      </c>
      <c r="AC101" s="27">
        <v>2891000</v>
      </c>
      <c r="AD101" s="27">
        <v>0</v>
      </c>
      <c r="AE101" s="27">
        <f>AC101+AD101</f>
        <v>2891000</v>
      </c>
      <c r="AF101" s="27">
        <v>0</v>
      </c>
      <c r="AG101" s="27">
        <v>1077895</v>
      </c>
      <c r="AH101" s="27">
        <v>1062359</v>
      </c>
      <c r="AI101" s="27">
        <v>648167</v>
      </c>
      <c r="AJ101" s="26">
        <v>41821</v>
      </c>
      <c r="AK101" s="39">
        <v>230924</v>
      </c>
      <c r="AL101" s="39">
        <v>11099078</v>
      </c>
      <c r="AM101" s="39">
        <v>10868154</v>
      </c>
      <c r="AN101" s="40">
        <v>2.1000000000000001E-2</v>
      </c>
      <c r="AO101" s="40">
        <v>7.2499999999999995E-2</v>
      </c>
      <c r="AP101" s="50" t="s">
        <v>297</v>
      </c>
      <c r="AQ101" s="27">
        <v>2303221</v>
      </c>
      <c r="AR101" s="27">
        <v>2327020</v>
      </c>
      <c r="AS101" s="27">
        <f>1894079+33442</f>
        <v>1927521</v>
      </c>
      <c r="AT101" s="27">
        <v>0</v>
      </c>
      <c r="AU101" s="27">
        <v>450879</v>
      </c>
      <c r="AV101" s="27">
        <v>1092702</v>
      </c>
      <c r="AW101" s="27">
        <v>17880019</v>
      </c>
      <c r="AX101" s="27">
        <f t="shared" si="93"/>
        <v>21351121</v>
      </c>
      <c r="AY101" s="27">
        <f>1894079+48171</f>
        <v>1942250</v>
      </c>
      <c r="AZ101" s="27">
        <f>9062980+2052625+198398</f>
        <v>11314003</v>
      </c>
      <c r="BA101" s="27">
        <v>6384204</v>
      </c>
      <c r="BB101" s="27">
        <v>2099700</v>
      </c>
      <c r="BC101" s="27">
        <v>2217419</v>
      </c>
      <c r="BD101" s="27">
        <f t="shared" si="106"/>
        <v>23957576</v>
      </c>
      <c r="BE101" s="29">
        <f t="shared" si="72"/>
        <v>1.9695341700801412E-2</v>
      </c>
      <c r="BF101" s="29">
        <f t="shared" si="73"/>
        <v>0.20120397909122639</v>
      </c>
      <c r="BG101" s="29">
        <f t="shared" si="74"/>
        <v>0.35952597493617883</v>
      </c>
      <c r="BH101" s="42">
        <f>VLOOKUP(B101,Unemployment!$A$2:$F$193,6,0)</f>
        <v>-0.5</v>
      </c>
      <c r="BI101" s="52">
        <f>VLOOKUP(VLOOKUP(B101,Counties!$A$20:$E$189,2,0),Zillow!$C$3:$R$10,16,0)</f>
        <v>-1.0173504494839088E-2</v>
      </c>
      <c r="BJ101" s="5"/>
      <c r="BK101" s="6">
        <v>10</v>
      </c>
      <c r="BL101" s="6">
        <v>40</v>
      </c>
      <c r="BM101" s="6">
        <v>30</v>
      </c>
      <c r="BN101" s="6">
        <v>10</v>
      </c>
      <c r="BO101" s="6">
        <v>10</v>
      </c>
      <c r="BP101" s="5"/>
      <c r="BQ101" s="43">
        <v>0.2</v>
      </c>
      <c r="BR101" s="43">
        <v>0.02</v>
      </c>
      <c r="BS101" s="43">
        <v>2.2000000000000002</v>
      </c>
      <c r="BT101" s="44">
        <v>0.02</v>
      </c>
      <c r="BU101" s="43">
        <v>-7.0000000000000007E-2</v>
      </c>
      <c r="BV101" s="5"/>
      <c r="BW101" s="43">
        <v>0.05</v>
      </c>
      <c r="BX101" s="43">
        <v>0.32</v>
      </c>
      <c r="BY101" s="43">
        <v>0.4</v>
      </c>
      <c r="BZ101" s="44">
        <v>0</v>
      </c>
      <c r="CA101" s="43">
        <v>0.03</v>
      </c>
      <c r="CB101" s="5"/>
      <c r="CC101" s="45">
        <f t="shared" si="75"/>
        <v>-1.5000000000000003E-2</v>
      </c>
      <c r="CD101" s="45">
        <f t="shared" si="76"/>
        <v>7.4999999999999997E-3</v>
      </c>
      <c r="CE101" s="45">
        <f t="shared" si="77"/>
        <v>-6.0000000000000012E-2</v>
      </c>
      <c r="CF101" s="46">
        <f t="shared" si="78"/>
        <v>-2E-3</v>
      </c>
      <c r="CG101" s="45">
        <f t="shared" si="79"/>
        <v>0.01</v>
      </c>
      <c r="CH101" s="5"/>
      <c r="CI101" s="44">
        <f t="shared" si="80"/>
        <v>10</v>
      </c>
      <c r="CJ101" s="44">
        <f t="shared" si="81"/>
        <v>24.160530545496854</v>
      </c>
      <c r="CK101" s="44">
        <f t="shared" si="82"/>
        <v>30</v>
      </c>
      <c r="CL101" s="44">
        <f t="shared" si="83"/>
        <v>10</v>
      </c>
      <c r="CM101" s="44">
        <f t="shared" si="84"/>
        <v>5.9826495505160917</v>
      </c>
      <c r="CN101" s="47">
        <f t="shared" si="85"/>
        <v>0</v>
      </c>
      <c r="CO101" s="5"/>
      <c r="CP101" s="47">
        <f t="shared" si="86"/>
        <v>2.7195341700801415E-2</v>
      </c>
      <c r="CQ101" s="47">
        <f t="shared" si="87"/>
        <v>0.1052039790912264</v>
      </c>
      <c r="CR101" s="47">
        <f t="shared" si="88"/>
        <v>1.079525974936179</v>
      </c>
      <c r="CS101" s="47">
        <f t="shared" si="89"/>
        <v>0.5</v>
      </c>
      <c r="CT101" s="47">
        <f t="shared" si="90"/>
        <v>1.3173504494839087E-2</v>
      </c>
      <c r="CU101" s="47">
        <f t="shared" si="91"/>
        <v>1.7250988002230458</v>
      </c>
    </row>
    <row r="102" spans="1:99" ht="15" customHeight="1">
      <c r="A102" s="5"/>
      <c r="B102" s="37" t="s">
        <v>141</v>
      </c>
      <c r="C102" s="37" t="s">
        <v>252</v>
      </c>
      <c r="D102" s="37" t="s">
        <v>255</v>
      </c>
      <c r="E102" s="26">
        <v>42551</v>
      </c>
      <c r="F102" s="38">
        <f t="shared" si="71"/>
        <v>81.940338098624864</v>
      </c>
      <c r="G102" s="4">
        <v>52881000</v>
      </c>
      <c r="H102" s="4">
        <v>7176000</v>
      </c>
      <c r="I102" s="4">
        <v>143106000</v>
      </c>
      <c r="J102" s="4">
        <v>75143000</v>
      </c>
      <c r="K102" s="4">
        <v>-9527000</v>
      </c>
      <c r="L102" s="4">
        <v>95696000</v>
      </c>
      <c r="M102" s="4">
        <v>2342000</v>
      </c>
      <c r="N102" s="4">
        <v>3466000</v>
      </c>
      <c r="O102" s="4">
        <v>24745000</v>
      </c>
      <c r="P102" s="4">
        <f>O102+N102+M102+L102</f>
        <v>126249000</v>
      </c>
      <c r="Q102" s="4">
        <v>122810000</v>
      </c>
      <c r="R102" s="4">
        <v>3439000</v>
      </c>
      <c r="S102" s="27">
        <v>119683000</v>
      </c>
      <c r="T102" s="27">
        <v>113361000</v>
      </c>
      <c r="U102" s="27">
        <v>126426000</v>
      </c>
      <c r="V102" s="27">
        <v>124297000</v>
      </c>
      <c r="W102" s="27">
        <v>587000</v>
      </c>
      <c r="X102" s="27">
        <v>2137</v>
      </c>
      <c r="Y102" s="27">
        <v>55424</v>
      </c>
      <c r="Z102" s="27">
        <v>250</v>
      </c>
      <c r="AA102" s="27">
        <v>7001</v>
      </c>
      <c r="AB102" s="27">
        <f t="shared" si="108"/>
        <v>64812</v>
      </c>
      <c r="AC102" s="27">
        <v>250</v>
      </c>
      <c r="AD102" s="27">
        <v>0</v>
      </c>
      <c r="AE102" s="27">
        <f>AC102+AD102</f>
        <v>250</v>
      </c>
      <c r="AF102" s="27">
        <v>0</v>
      </c>
      <c r="AG102" s="27">
        <v>1970</v>
      </c>
      <c r="AH102" s="27">
        <v>1971</v>
      </c>
      <c r="AI102" s="27">
        <v>1946</v>
      </c>
      <c r="AJ102" s="26">
        <v>42186</v>
      </c>
      <c r="AK102" s="39">
        <v>5289</v>
      </c>
      <c r="AL102" s="39">
        <v>20561</v>
      </c>
      <c r="AM102" s="39">
        <v>15272</v>
      </c>
      <c r="AN102" s="40">
        <v>0.25900000000000001</v>
      </c>
      <c r="AO102" s="40">
        <v>7.3800000000000004E-2</v>
      </c>
      <c r="AP102" s="40">
        <v>2.75E-2</v>
      </c>
      <c r="AQ102" s="27">
        <v>5543000</v>
      </c>
      <c r="AR102" s="27">
        <v>5543000</v>
      </c>
      <c r="AS102" s="27">
        <v>0</v>
      </c>
      <c r="AT102" s="27">
        <v>0</v>
      </c>
      <c r="AU102" s="27">
        <v>515000</v>
      </c>
      <c r="AV102" s="27">
        <v>6460000</v>
      </c>
      <c r="AW102" s="27">
        <v>14981000</v>
      </c>
      <c r="AX102" s="27">
        <f t="shared" si="93"/>
        <v>21956000</v>
      </c>
      <c r="AY102" s="27">
        <v>61000</v>
      </c>
      <c r="AZ102" s="27">
        <v>1508000</v>
      </c>
      <c r="BA102" s="27">
        <v>12186000</v>
      </c>
      <c r="BB102" s="27">
        <v>6460000</v>
      </c>
      <c r="BC102" s="27">
        <v>14981000</v>
      </c>
      <c r="BD102" s="27">
        <f t="shared" si="106"/>
        <v>35196000</v>
      </c>
      <c r="BE102" s="29">
        <f t="shared" si="72"/>
        <v>4.3905298259788193E-2</v>
      </c>
      <c r="BF102" s="29">
        <f t="shared" si="73"/>
        <v>0.19368213053872144</v>
      </c>
      <c r="BG102" s="29">
        <f t="shared" si="74"/>
        <v>7.4360985037505244E-5</v>
      </c>
      <c r="BH102" s="42">
        <f>VLOOKUP(B102,Unemployment!$A$2:$F$193,6,0)</f>
        <v>-0.39999999999999947</v>
      </c>
      <c r="BI102" s="29">
        <f>VLOOKUP(B102,Zillow!$C$11:$R$193,16,0)</f>
        <v>1.7827206934620136E-2</v>
      </c>
      <c r="BJ102" s="5"/>
      <c r="BK102" s="6">
        <v>10</v>
      </c>
      <c r="BL102" s="6">
        <v>40</v>
      </c>
      <c r="BM102" s="6">
        <v>30</v>
      </c>
      <c r="BN102" s="6">
        <v>10</v>
      </c>
      <c r="BO102" s="6">
        <v>10</v>
      </c>
      <c r="BP102" s="5"/>
      <c r="BQ102" s="43">
        <v>0.2</v>
      </c>
      <c r="BR102" s="43">
        <v>0.02</v>
      </c>
      <c r="BS102" s="43">
        <v>2.2000000000000002</v>
      </c>
      <c r="BT102" s="44">
        <v>0.02</v>
      </c>
      <c r="BU102" s="43">
        <v>-7.0000000000000007E-2</v>
      </c>
      <c r="BV102" s="5"/>
      <c r="BW102" s="43">
        <v>0.05</v>
      </c>
      <c r="BX102" s="43">
        <v>0.32</v>
      </c>
      <c r="BY102" s="43">
        <v>0.4</v>
      </c>
      <c r="BZ102" s="44">
        <v>0</v>
      </c>
      <c r="CA102" s="43">
        <v>0.03</v>
      </c>
      <c r="CB102" s="5"/>
      <c r="CC102" s="45">
        <f t="shared" si="75"/>
        <v>-1.5000000000000003E-2</v>
      </c>
      <c r="CD102" s="45">
        <f t="shared" si="76"/>
        <v>7.4999999999999997E-3</v>
      </c>
      <c r="CE102" s="45">
        <f t="shared" si="77"/>
        <v>-6.0000000000000012E-2</v>
      </c>
      <c r="CF102" s="46">
        <f t="shared" si="78"/>
        <v>-2E-3</v>
      </c>
      <c r="CG102" s="45">
        <f t="shared" si="79"/>
        <v>0.01</v>
      </c>
      <c r="CH102" s="5"/>
      <c r="CI102" s="44">
        <f t="shared" si="80"/>
        <v>10</v>
      </c>
      <c r="CJ102" s="44">
        <f t="shared" si="81"/>
        <v>23.15761740516286</v>
      </c>
      <c r="CK102" s="44">
        <f t="shared" si="82"/>
        <v>30</v>
      </c>
      <c r="CL102" s="44">
        <f t="shared" si="83"/>
        <v>10</v>
      </c>
      <c r="CM102" s="44">
        <f t="shared" si="84"/>
        <v>8.7827206934620143</v>
      </c>
      <c r="CN102" s="47">
        <f t="shared" si="85"/>
        <v>0</v>
      </c>
      <c r="CO102" s="5"/>
      <c r="CP102" s="47">
        <f t="shared" si="86"/>
        <v>5.1405298259788193E-2</v>
      </c>
      <c r="CQ102" s="47">
        <f t="shared" si="87"/>
        <v>9.7682130538721448E-2</v>
      </c>
      <c r="CR102" s="47">
        <f t="shared" si="88"/>
        <v>0.72007436098503774</v>
      </c>
      <c r="CS102" s="47">
        <f t="shared" si="89"/>
        <v>0.39999999999999947</v>
      </c>
      <c r="CT102" s="47">
        <f t="shared" si="90"/>
        <v>1.4827206934620137E-2</v>
      </c>
      <c r="CU102" s="47">
        <f t="shared" si="91"/>
        <v>1.283988996718167</v>
      </c>
    </row>
    <row r="103" spans="1:99" ht="15" customHeight="1">
      <c r="A103" s="5"/>
      <c r="B103" s="37" t="s">
        <v>36</v>
      </c>
      <c r="C103" s="37" t="s">
        <v>252</v>
      </c>
      <c r="D103" s="37" t="s">
        <v>255</v>
      </c>
      <c r="E103" s="50" t="s">
        <v>263</v>
      </c>
      <c r="F103" s="38">
        <f t="shared" ref="F103:F116" si="109">SUM(CI103:CN103)</f>
        <v>64.686549678719132</v>
      </c>
      <c r="G103" s="4">
        <v>59452673</v>
      </c>
      <c r="H103" s="4">
        <v>25961112</v>
      </c>
      <c r="I103" s="4">
        <v>380607781</v>
      </c>
      <c r="J103" s="4">
        <v>273998383</v>
      </c>
      <c r="K103" s="4">
        <v>24133384</v>
      </c>
      <c r="L103" s="4">
        <f>101373044+2770496+400078+220547</f>
        <v>104764165</v>
      </c>
      <c r="M103" s="4">
        <v>30852252</v>
      </c>
      <c r="N103" s="4">
        <v>8036807</v>
      </c>
      <c r="O103" s="4">
        <v>19415619</v>
      </c>
      <c r="P103" s="4">
        <f>L103+M103+N103+O103</f>
        <v>163068843</v>
      </c>
      <c r="Q103" s="4">
        <v>130769054</v>
      </c>
      <c r="R103" s="4">
        <v>32299789</v>
      </c>
      <c r="S103" s="27">
        <v>120198122</v>
      </c>
      <c r="T103" s="27">
        <v>118916507</v>
      </c>
      <c r="U103" s="27">
        <v>162037544</v>
      </c>
      <c r="V103" s="27">
        <v>167368723</v>
      </c>
      <c r="W103" s="27">
        <v>1005367</v>
      </c>
      <c r="X103" s="27">
        <f>7229845+1089198</f>
        <v>8319043</v>
      </c>
      <c r="Y103" s="27">
        <v>13476873</v>
      </c>
      <c r="Z103" s="27">
        <v>1815256</v>
      </c>
      <c r="AA103" s="27">
        <f>89095884+3600415-X103-Y103-Z103</f>
        <v>69085127</v>
      </c>
      <c r="AB103" s="27">
        <f t="shared" si="108"/>
        <v>92696299</v>
      </c>
      <c r="AC103" s="27">
        <v>1815256</v>
      </c>
      <c r="AD103" s="27">
        <v>0</v>
      </c>
      <c r="AE103" s="27">
        <f>AC103+AD103</f>
        <v>1815256</v>
      </c>
      <c r="AF103" s="27">
        <v>0</v>
      </c>
      <c r="AG103" s="27">
        <v>793865</v>
      </c>
      <c r="AH103" s="27">
        <v>783422</v>
      </c>
      <c r="AI103" s="27">
        <v>397755</v>
      </c>
      <c r="AJ103" s="50" t="s">
        <v>259</v>
      </c>
      <c r="AK103" s="39">
        <v>1282204</v>
      </c>
      <c r="AL103" s="39">
        <v>7388197</v>
      </c>
      <c r="AM103" s="39">
        <f>AL103-AK103</f>
        <v>6105993</v>
      </c>
      <c r="AN103" s="40">
        <f>AK103/AL103</f>
        <v>0.17354761926353615</v>
      </c>
      <c r="AO103" s="40">
        <v>7.4999999999999997E-2</v>
      </c>
      <c r="AP103" s="39">
        <v>2</v>
      </c>
      <c r="AQ103" s="27">
        <v>793865</v>
      </c>
      <c r="AR103" s="27">
        <v>397755</v>
      </c>
      <c r="AS103" s="27">
        <v>0</v>
      </c>
      <c r="AT103" s="27">
        <v>0</v>
      </c>
      <c r="AU103" s="27">
        <v>0</v>
      </c>
      <c r="AV103" s="27">
        <v>868010</v>
      </c>
      <c r="AW103" s="27">
        <v>11444280</v>
      </c>
      <c r="AX103" s="27">
        <f t="shared" si="93"/>
        <v>12312290</v>
      </c>
      <c r="AY103" s="27">
        <v>610000</v>
      </c>
      <c r="AZ103" s="27">
        <v>3681228</v>
      </c>
      <c r="BA103" s="27">
        <v>8075178</v>
      </c>
      <c r="BB103" s="27">
        <v>953223</v>
      </c>
      <c r="BC103" s="27">
        <v>11444280</v>
      </c>
      <c r="BD103" s="27">
        <f t="shared" si="106"/>
        <v>24763909</v>
      </c>
      <c r="BE103" s="29">
        <f t="shared" ref="BE103:BE116" si="110">AQ103/P103</f>
        <v>4.8682813061965494E-3</v>
      </c>
      <c r="BF103" s="29">
        <f t="shared" ref="BF103:BF116" si="111">AX103/T103</f>
        <v>0.10353726585662325</v>
      </c>
      <c r="BG103" s="29">
        <f t="shared" ref="BG103:BG116" si="112">(AB103-Y103)/P103</f>
        <v>0.48580356947770825</v>
      </c>
      <c r="BH103" s="42">
        <f>VLOOKUP(B103,Unemployment!$A$2:$F$193,6,0)</f>
        <v>-0.10000000000000053</v>
      </c>
      <c r="BI103" s="29">
        <f>VLOOKUP(B103,Zillow!$C$11:$R$193,16,0)</f>
        <v>-2.021692944202164E-2</v>
      </c>
      <c r="BJ103" s="5"/>
      <c r="BK103" s="6">
        <v>10</v>
      </c>
      <c r="BL103" s="6">
        <v>40</v>
      </c>
      <c r="BM103" s="6">
        <v>30</v>
      </c>
      <c r="BN103" s="6">
        <v>10</v>
      </c>
      <c r="BO103" s="6">
        <v>10</v>
      </c>
      <c r="BP103" s="5"/>
      <c r="BQ103" s="43">
        <v>0.2</v>
      </c>
      <c r="BR103" s="43">
        <v>0.02</v>
      </c>
      <c r="BS103" s="43">
        <v>2.2000000000000002</v>
      </c>
      <c r="BT103" s="44">
        <v>0.02</v>
      </c>
      <c r="BU103" s="43">
        <v>-7.0000000000000007E-2</v>
      </c>
      <c r="BV103" s="5"/>
      <c r="BW103" s="43">
        <v>0.05</v>
      </c>
      <c r="BX103" s="43">
        <v>0.32</v>
      </c>
      <c r="BY103" s="43">
        <v>0.4</v>
      </c>
      <c r="BZ103" s="44">
        <v>0</v>
      </c>
      <c r="CA103" s="43">
        <v>0.03</v>
      </c>
      <c r="CB103" s="5"/>
      <c r="CC103" s="45">
        <f t="shared" ref="CC103:CC116" si="113">(BW103-BQ103)/BK103</f>
        <v>-1.5000000000000003E-2</v>
      </c>
      <c r="CD103" s="45">
        <f t="shared" ref="CD103:CD116" si="114">(BX103-BR103)/BL103</f>
        <v>7.4999999999999997E-3</v>
      </c>
      <c r="CE103" s="45">
        <f t="shared" ref="CE103:CE116" si="115">(BY103-BS103)/BM103</f>
        <v>-6.0000000000000012E-2</v>
      </c>
      <c r="CF103" s="46">
        <f t="shared" ref="CF103:CF116" si="116">(BZ103-BT103)/BN103</f>
        <v>-2E-3</v>
      </c>
      <c r="CG103" s="45">
        <f t="shared" ref="CG103:CG116" si="117">(CA103-BU103)/BO103</f>
        <v>0.01</v>
      </c>
      <c r="CH103" s="5"/>
      <c r="CI103" s="44">
        <f t="shared" ref="CI103:CI116" si="118">MIN(MAX(0,(BE103-BQ103)/CC103),BK103)</f>
        <v>10</v>
      </c>
      <c r="CJ103" s="44">
        <f t="shared" ref="CJ103:CJ116" si="119">MIN(MAX(0,(BF103-BR103)/CD103),BL103)</f>
        <v>11.138302114216433</v>
      </c>
      <c r="CK103" s="44">
        <f t="shared" ref="CK103:CK116" si="120">MIN(MAX(0,(BG103-BS103)/CE103),BM103)</f>
        <v>28.56994050870486</v>
      </c>
      <c r="CL103" s="44">
        <f t="shared" ref="CL103:CL116" si="121">MIN(MAX(0,(BH103-BT103)/CF103),BN103)</f>
        <v>10</v>
      </c>
      <c r="CM103" s="44">
        <f t="shared" ref="CM103:CM116" si="122">MIN(MAX(0,(BI103-BU103)/CG103),BO103)</f>
        <v>4.9783070557978366</v>
      </c>
      <c r="CN103" s="47">
        <f t="shared" ref="CN103:CN134" si="123">IF(SUM(CI103:CM103)=100,CU103*0.00001,0)</f>
        <v>0</v>
      </c>
      <c r="CO103" s="5"/>
      <c r="CP103" s="47">
        <f t="shared" ref="CP103:CP116" si="124">ABS(BE103-BW103*CC103*BK103)</f>
        <v>1.2368281306196553E-2</v>
      </c>
      <c r="CQ103" s="47">
        <f t="shared" ref="CQ103:CQ116" si="125">ABS(BF103-BX103*CD103*BL103)</f>
        <v>7.5372658566232598E-3</v>
      </c>
      <c r="CR103" s="47">
        <f t="shared" ref="CR103:CR116" si="126">ABS(BG103-BY103*CE103*BM103)</f>
        <v>1.2058035694777085</v>
      </c>
      <c r="CS103" s="47">
        <f t="shared" ref="CS103:CS116" si="127">ABS(BH103-BZ103*CF103*BN103)</f>
        <v>0.10000000000000053</v>
      </c>
      <c r="CT103" s="47">
        <f t="shared" ref="CT103:CT116" si="128">ABS(BI103-CA103*CG103*BO103)</f>
        <v>2.3216929442021639E-2</v>
      </c>
      <c r="CU103" s="47">
        <f t="shared" ref="CU103:CU134" si="129">SUM(CP103:CT103)</f>
        <v>1.3489260460825505</v>
      </c>
    </row>
    <row r="104" spans="1:99" ht="15" customHeight="1">
      <c r="A104" s="5"/>
      <c r="B104" s="37" t="s">
        <v>85</v>
      </c>
      <c r="C104" s="37" t="s">
        <v>252</v>
      </c>
      <c r="D104" s="37" t="s">
        <v>255</v>
      </c>
      <c r="E104" s="26">
        <v>42551</v>
      </c>
      <c r="F104" s="38">
        <f t="shared" si="109"/>
        <v>72.911333066223278</v>
      </c>
      <c r="G104" s="4">
        <f>8358999-5760947</f>
        <v>2598052</v>
      </c>
      <c r="H104" s="4">
        <f>1388796-1387500</f>
        <v>1296</v>
      </c>
      <c r="I104" s="4">
        <v>8358999</v>
      </c>
      <c r="J104" s="4">
        <v>7177973</v>
      </c>
      <c r="K104" s="4">
        <v>2804526</v>
      </c>
      <c r="L104" s="4">
        <v>6715282</v>
      </c>
      <c r="M104" s="4">
        <v>130335</v>
      </c>
      <c r="N104" s="4">
        <v>278649</v>
      </c>
      <c r="O104" s="4">
        <v>752596</v>
      </c>
      <c r="P104" s="4">
        <f>O104+N104+M104+L104</f>
        <v>7876862</v>
      </c>
      <c r="Q104" s="4">
        <v>7389441</v>
      </c>
      <c r="R104" s="4">
        <v>487421</v>
      </c>
      <c r="S104" s="27">
        <v>7784095</v>
      </c>
      <c r="T104" s="27">
        <v>7394869</v>
      </c>
      <c r="U104" s="27">
        <v>7980099</v>
      </c>
      <c r="V104" s="27">
        <v>7564812</v>
      </c>
      <c r="W104" s="27">
        <v>98588</v>
      </c>
      <c r="X104" s="27"/>
      <c r="Y104" s="27"/>
      <c r="Z104" s="27"/>
      <c r="AA104" s="27"/>
      <c r="AB104" s="27"/>
      <c r="AC104" s="27"/>
      <c r="AD104" s="27"/>
      <c r="AE104" s="27"/>
      <c r="AF104" s="27"/>
      <c r="AG104" s="27"/>
      <c r="AH104" s="27"/>
      <c r="AI104" s="27"/>
      <c r="AJ104" s="26"/>
      <c r="AK104" s="49"/>
      <c r="AL104" s="49"/>
      <c r="AM104" s="49"/>
      <c r="AN104" s="49"/>
      <c r="AO104" s="40"/>
      <c r="AP104" s="40"/>
      <c r="AQ104" s="27">
        <v>11857</v>
      </c>
      <c r="AR104" s="27">
        <v>175353</v>
      </c>
      <c r="AS104" s="27">
        <v>0</v>
      </c>
      <c r="AT104" s="27">
        <v>0</v>
      </c>
      <c r="AU104" s="27">
        <v>0</v>
      </c>
      <c r="AV104" s="27">
        <v>0</v>
      </c>
      <c r="AW104" s="27">
        <v>1202305</v>
      </c>
      <c r="AX104" s="27">
        <f t="shared" ref="AX104:AX135" si="130">AS104+AT104+AU104+AV104+AW104</f>
        <v>1202305</v>
      </c>
      <c r="AY104" s="27">
        <v>190652</v>
      </c>
      <c r="AZ104" s="27">
        <v>27615</v>
      </c>
      <c r="BA104" s="27">
        <v>447704</v>
      </c>
      <c r="BB104" s="27">
        <v>33501</v>
      </c>
      <c r="BC104" s="27">
        <v>1202305</v>
      </c>
      <c r="BD104" s="27">
        <f t="shared" si="106"/>
        <v>1901777</v>
      </c>
      <c r="BE104" s="29">
        <f t="shared" si="110"/>
        <v>1.5052948750403396E-3</v>
      </c>
      <c r="BF104" s="29">
        <f t="shared" si="111"/>
        <v>0.16258638253091434</v>
      </c>
      <c r="BG104" s="29">
        <f t="shared" si="112"/>
        <v>0</v>
      </c>
      <c r="BH104" s="42">
        <f>VLOOKUP(B104,Unemployment!$A$2:$F$193,6,0)</f>
        <v>-0.5</v>
      </c>
      <c r="BI104" s="29">
        <f>VLOOKUP(B104,Zillow!$C$11:$R$193,16,0)</f>
        <v>-3.1001846045653068E-2</v>
      </c>
      <c r="BJ104" s="5"/>
      <c r="BK104" s="6">
        <v>10</v>
      </c>
      <c r="BL104" s="6">
        <v>40</v>
      </c>
      <c r="BM104" s="6">
        <v>30</v>
      </c>
      <c r="BN104" s="6">
        <v>10</v>
      </c>
      <c r="BO104" s="6">
        <v>10</v>
      </c>
      <c r="BP104" s="5"/>
      <c r="BQ104" s="43">
        <v>0.2</v>
      </c>
      <c r="BR104" s="43">
        <v>0.02</v>
      </c>
      <c r="BS104" s="43">
        <v>2.2000000000000002</v>
      </c>
      <c r="BT104" s="44">
        <v>0.02</v>
      </c>
      <c r="BU104" s="43">
        <v>-7.0000000000000007E-2</v>
      </c>
      <c r="BV104" s="5"/>
      <c r="BW104" s="43">
        <v>0.05</v>
      </c>
      <c r="BX104" s="43">
        <v>0.32</v>
      </c>
      <c r="BY104" s="43">
        <v>0.4</v>
      </c>
      <c r="BZ104" s="44">
        <v>0</v>
      </c>
      <c r="CA104" s="43">
        <v>0.03</v>
      </c>
      <c r="CB104" s="5"/>
      <c r="CC104" s="45">
        <f t="shared" si="113"/>
        <v>-1.5000000000000003E-2</v>
      </c>
      <c r="CD104" s="45">
        <f t="shared" si="114"/>
        <v>7.4999999999999997E-3</v>
      </c>
      <c r="CE104" s="45">
        <f t="shared" si="115"/>
        <v>-6.0000000000000012E-2</v>
      </c>
      <c r="CF104" s="46">
        <f t="shared" si="116"/>
        <v>-2E-3</v>
      </c>
      <c r="CG104" s="45">
        <f t="shared" si="117"/>
        <v>0.01</v>
      </c>
      <c r="CH104" s="5"/>
      <c r="CI104" s="44">
        <f t="shared" si="118"/>
        <v>10</v>
      </c>
      <c r="CJ104" s="44">
        <f t="shared" si="119"/>
        <v>19.011517670788582</v>
      </c>
      <c r="CK104" s="44">
        <f t="shared" si="120"/>
        <v>30</v>
      </c>
      <c r="CL104" s="44">
        <f t="shared" si="121"/>
        <v>10</v>
      </c>
      <c r="CM104" s="44">
        <f t="shared" si="122"/>
        <v>3.8998153954346941</v>
      </c>
      <c r="CN104" s="47">
        <f t="shared" si="123"/>
        <v>0</v>
      </c>
      <c r="CO104" s="5"/>
      <c r="CP104" s="47">
        <f t="shared" si="124"/>
        <v>9.0052948750403428E-3</v>
      </c>
      <c r="CQ104" s="47">
        <f t="shared" si="125"/>
        <v>6.6586382530914354E-2</v>
      </c>
      <c r="CR104" s="47">
        <f t="shared" si="126"/>
        <v>0.7200000000000002</v>
      </c>
      <c r="CS104" s="47">
        <f t="shared" si="127"/>
        <v>0.5</v>
      </c>
      <c r="CT104" s="47">
        <f t="shared" si="128"/>
        <v>3.4001846045653067E-2</v>
      </c>
      <c r="CU104" s="47">
        <f t="shared" si="129"/>
        <v>1.3295935234516079</v>
      </c>
    </row>
    <row r="105" spans="1:99" ht="15" customHeight="1">
      <c r="A105" s="5"/>
      <c r="B105" s="37" t="s">
        <v>63</v>
      </c>
      <c r="C105" s="37" t="s">
        <v>252</v>
      </c>
      <c r="D105" s="37" t="s">
        <v>255</v>
      </c>
      <c r="E105" s="26">
        <v>42551</v>
      </c>
      <c r="F105" s="38">
        <f t="shared" si="109"/>
        <v>69.801390446693219</v>
      </c>
      <c r="G105" s="4">
        <f>139409028-116252278</f>
        <v>23156750</v>
      </c>
      <c r="H105" s="4">
        <f>58067801-53034453</f>
        <v>5033348</v>
      </c>
      <c r="I105" s="4">
        <v>139409028</v>
      </c>
      <c r="J105" s="4">
        <v>84848492</v>
      </c>
      <c r="K105" s="4">
        <v>5112475</v>
      </c>
      <c r="L105" s="4">
        <v>40873300</v>
      </c>
      <c r="M105" s="4">
        <v>1843663</v>
      </c>
      <c r="N105" s="4">
        <v>3737081</v>
      </c>
      <c r="O105" s="4">
        <v>12760279</v>
      </c>
      <c r="P105" s="4">
        <f>O105+N105+M105+L105</f>
        <v>59214323</v>
      </c>
      <c r="Q105" s="4">
        <v>55507232</v>
      </c>
      <c r="R105" s="4">
        <f t="shared" ref="R105:R116" si="131">P105-Q105</f>
        <v>3707091</v>
      </c>
      <c r="S105" s="27">
        <v>53432300</v>
      </c>
      <c r="T105" s="27">
        <v>52750162</v>
      </c>
      <c r="U105" s="27">
        <v>58895020</v>
      </c>
      <c r="V105" s="27">
        <v>61280792</v>
      </c>
      <c r="W105" s="27">
        <v>880513</v>
      </c>
      <c r="X105" s="27">
        <v>5151374</v>
      </c>
      <c r="Y105" s="27">
        <v>11608122</v>
      </c>
      <c r="Z105" s="27">
        <v>0</v>
      </c>
      <c r="AA105" s="27">
        <v>36274957</v>
      </c>
      <c r="AB105" s="27">
        <f>X105+Y105+Z105+AA105</f>
        <v>53034453</v>
      </c>
      <c r="AC105" s="27">
        <v>155193</v>
      </c>
      <c r="AD105" s="27">
        <v>0</v>
      </c>
      <c r="AE105" s="27">
        <f>AC105+AD105</f>
        <v>155193</v>
      </c>
      <c r="AF105" s="27">
        <v>0</v>
      </c>
      <c r="AG105" s="27">
        <v>548295</v>
      </c>
      <c r="AH105" s="27">
        <v>549500</v>
      </c>
      <c r="AI105" s="27">
        <v>548295</v>
      </c>
      <c r="AJ105" s="26">
        <v>41821</v>
      </c>
      <c r="AK105" s="39">
        <v>1880221</v>
      </c>
      <c r="AL105" s="39">
        <v>7197759</v>
      </c>
      <c r="AM105" s="39">
        <v>5317538</v>
      </c>
      <c r="AN105" s="40">
        <f>AK105/AL105</f>
        <v>0.26122311124893177</v>
      </c>
      <c r="AO105" s="40">
        <v>7.0000000000000007E-2</v>
      </c>
      <c r="AP105" s="40">
        <v>0</v>
      </c>
      <c r="AQ105" s="27">
        <f t="shared" ref="AQ105:AR105" si="132">318927+788048+190992</f>
        <v>1297967</v>
      </c>
      <c r="AR105" s="27">
        <f t="shared" si="132"/>
        <v>1297967</v>
      </c>
      <c r="AS105" s="27">
        <v>1010</v>
      </c>
      <c r="AT105" s="27">
        <v>0</v>
      </c>
      <c r="AU105" s="27">
        <v>350000</v>
      </c>
      <c r="AV105" s="27">
        <v>1064275</v>
      </c>
      <c r="AW105" s="27">
        <v>6719647</v>
      </c>
      <c r="AX105" s="27">
        <f t="shared" si="130"/>
        <v>8134932</v>
      </c>
      <c r="AY105" s="27">
        <v>29062</v>
      </c>
      <c r="AZ105" s="27">
        <v>793635</v>
      </c>
      <c r="BA105" s="27">
        <f>4540124+350000+6180</f>
        <v>4896304</v>
      </c>
      <c r="BB105" s="27">
        <v>2481259</v>
      </c>
      <c r="BC105" s="27">
        <v>6687446</v>
      </c>
      <c r="BD105" s="27">
        <f t="shared" si="106"/>
        <v>14887706</v>
      </c>
      <c r="BE105" s="29">
        <f t="shared" si="110"/>
        <v>2.191981490694405E-2</v>
      </c>
      <c r="BF105" s="29">
        <f t="shared" si="111"/>
        <v>0.15421624676716633</v>
      </c>
      <c r="BG105" s="29">
        <f t="shared" si="112"/>
        <v>0.69959984174774736</v>
      </c>
      <c r="BH105" s="42">
        <f>VLOOKUP(B105,Unemployment!$A$2:$F$193,6,0)</f>
        <v>-0.5</v>
      </c>
      <c r="BI105" s="29">
        <f>VLOOKUP(B105,Zillow!$C$11:$R$193,16,0)</f>
        <v>-1.0077842646650794E-3</v>
      </c>
      <c r="BJ105" s="5"/>
      <c r="BK105" s="6">
        <v>10</v>
      </c>
      <c r="BL105" s="6">
        <v>40</v>
      </c>
      <c r="BM105" s="6">
        <v>30</v>
      </c>
      <c r="BN105" s="6">
        <v>10</v>
      </c>
      <c r="BO105" s="6">
        <v>10</v>
      </c>
      <c r="BP105" s="5"/>
      <c r="BQ105" s="43">
        <v>0.2</v>
      </c>
      <c r="BR105" s="43">
        <v>0.02</v>
      </c>
      <c r="BS105" s="43">
        <v>2.2000000000000002</v>
      </c>
      <c r="BT105" s="44">
        <v>0.02</v>
      </c>
      <c r="BU105" s="43">
        <v>-7.0000000000000007E-2</v>
      </c>
      <c r="BV105" s="5"/>
      <c r="BW105" s="43">
        <v>0.05</v>
      </c>
      <c r="BX105" s="43">
        <v>0.32</v>
      </c>
      <c r="BY105" s="43">
        <v>0.4</v>
      </c>
      <c r="BZ105" s="44">
        <v>0</v>
      </c>
      <c r="CA105" s="43">
        <v>0.03</v>
      </c>
      <c r="CB105" s="5"/>
      <c r="CC105" s="45">
        <f t="shared" si="113"/>
        <v>-1.5000000000000003E-2</v>
      </c>
      <c r="CD105" s="45">
        <f t="shared" si="114"/>
        <v>7.4999999999999997E-3</v>
      </c>
      <c r="CE105" s="45">
        <f t="shared" si="115"/>
        <v>-6.0000000000000012E-2</v>
      </c>
      <c r="CF105" s="46">
        <f t="shared" si="116"/>
        <v>-2E-3</v>
      </c>
      <c r="CG105" s="45">
        <f t="shared" si="117"/>
        <v>0.01</v>
      </c>
      <c r="CH105" s="5"/>
      <c r="CI105" s="44">
        <f t="shared" si="118"/>
        <v>10</v>
      </c>
      <c r="CJ105" s="44">
        <f t="shared" si="119"/>
        <v>17.895499568955511</v>
      </c>
      <c r="CK105" s="44">
        <f t="shared" si="120"/>
        <v>25.006669304204209</v>
      </c>
      <c r="CL105" s="44">
        <f t="shared" si="121"/>
        <v>10</v>
      </c>
      <c r="CM105" s="44">
        <f t="shared" si="122"/>
        <v>6.8992215735334925</v>
      </c>
      <c r="CN105" s="47">
        <f t="shared" si="123"/>
        <v>0</v>
      </c>
      <c r="CO105" s="5"/>
      <c r="CP105" s="47">
        <f t="shared" si="124"/>
        <v>2.9419814906944054E-2</v>
      </c>
      <c r="CQ105" s="47">
        <f t="shared" si="125"/>
        <v>5.8216246767166344E-2</v>
      </c>
      <c r="CR105" s="47">
        <f t="shared" si="126"/>
        <v>1.4195998417477476</v>
      </c>
      <c r="CS105" s="47">
        <f t="shared" si="127"/>
        <v>0.5</v>
      </c>
      <c r="CT105" s="47">
        <f t="shared" si="128"/>
        <v>4.0077842646650793E-3</v>
      </c>
      <c r="CU105" s="47">
        <f t="shared" si="129"/>
        <v>2.0112436876865227</v>
      </c>
    </row>
    <row r="106" spans="1:99" ht="15" customHeight="1">
      <c r="A106" s="5"/>
      <c r="B106" s="37" t="s">
        <v>11</v>
      </c>
      <c r="C106" s="37" t="s">
        <v>252</v>
      </c>
      <c r="D106" s="37" t="s">
        <v>255</v>
      </c>
      <c r="E106" s="50" t="s">
        <v>263</v>
      </c>
      <c r="F106" s="38">
        <f t="shared" si="109"/>
        <v>55.862723301084095</v>
      </c>
      <c r="G106" s="4">
        <v>4362017</v>
      </c>
      <c r="H106" s="4">
        <f>1053892-207341</f>
        <v>846551</v>
      </c>
      <c r="I106" s="4">
        <v>14703721</v>
      </c>
      <c r="J106" s="4">
        <v>12943728</v>
      </c>
      <c r="K106" s="4">
        <v>2648962</v>
      </c>
      <c r="L106" s="4">
        <f>8741315+22402+78554+8042</f>
        <v>8850313</v>
      </c>
      <c r="M106" s="4">
        <v>0</v>
      </c>
      <c r="N106" s="4">
        <v>194603</v>
      </c>
      <c r="O106" s="4">
        <v>3761104</v>
      </c>
      <c r="P106" s="4">
        <f>L106+M106+N106+O106</f>
        <v>12806020</v>
      </c>
      <c r="Q106" s="4">
        <v>12863506</v>
      </c>
      <c r="R106" s="4">
        <f t="shared" si="131"/>
        <v>-57486</v>
      </c>
      <c r="S106" s="27">
        <v>12033689</v>
      </c>
      <c r="T106" s="27">
        <v>11694554</v>
      </c>
      <c r="U106" s="27">
        <v>12761127</v>
      </c>
      <c r="V106" s="27">
        <v>12698887</v>
      </c>
      <c r="W106" s="27">
        <v>130895</v>
      </c>
      <c r="X106" s="27">
        <v>207341</v>
      </c>
      <c r="Y106" s="27"/>
      <c r="Z106" s="27"/>
      <c r="AA106" s="27">
        <f>AB106-207341</f>
        <v>706101</v>
      </c>
      <c r="AB106" s="27">
        <v>913442</v>
      </c>
      <c r="AC106" s="27"/>
      <c r="AD106" s="27"/>
      <c r="AE106" s="27"/>
      <c r="AF106" s="27"/>
      <c r="AG106" s="27"/>
      <c r="AH106" s="27"/>
      <c r="AI106" s="27"/>
      <c r="AJ106" s="26"/>
      <c r="AK106" s="49"/>
      <c r="AL106" s="49"/>
      <c r="AM106" s="49"/>
      <c r="AN106" s="49"/>
      <c r="AO106" s="49"/>
      <c r="AP106" s="49"/>
      <c r="AQ106" s="27">
        <v>0</v>
      </c>
      <c r="AR106" s="27">
        <v>0</v>
      </c>
      <c r="AS106" s="27">
        <v>0</v>
      </c>
      <c r="AT106" s="27">
        <v>0</v>
      </c>
      <c r="AU106" s="27">
        <v>0</v>
      </c>
      <c r="AV106" s="27">
        <v>0</v>
      </c>
      <c r="AW106" s="27">
        <v>1100464</v>
      </c>
      <c r="AX106" s="27">
        <f t="shared" si="130"/>
        <v>1100464</v>
      </c>
      <c r="AY106" s="27">
        <v>241</v>
      </c>
      <c r="AZ106" s="27">
        <f>41496+36710+643200+75282</f>
        <v>796688</v>
      </c>
      <c r="BA106" s="27">
        <v>465334</v>
      </c>
      <c r="BB106" s="27">
        <f>529388+0</f>
        <v>529388</v>
      </c>
      <c r="BC106" s="27">
        <v>1075048</v>
      </c>
      <c r="BD106" s="27">
        <f t="shared" si="106"/>
        <v>2866699</v>
      </c>
      <c r="BE106" s="29">
        <f t="shared" si="110"/>
        <v>0</v>
      </c>
      <c r="BF106" s="29">
        <f t="shared" si="111"/>
        <v>9.4100553129259995E-2</v>
      </c>
      <c r="BG106" s="29">
        <f t="shared" si="112"/>
        <v>7.1329109278292557E-2</v>
      </c>
      <c r="BH106" s="42">
        <f>VLOOKUP(B106,Unemployment!$A$2:$F$193,6,0)</f>
        <v>0.10000000000000053</v>
      </c>
      <c r="BI106" s="52">
        <f>VLOOKUP(VLOOKUP(B106,Counties!$A$20:$E$189,2,0),Zillow!$C$3:$R$10,16,0)</f>
        <v>-1.0173504494839088E-2</v>
      </c>
      <c r="BJ106" s="5"/>
      <c r="BK106" s="6">
        <v>10</v>
      </c>
      <c r="BL106" s="6">
        <v>40</v>
      </c>
      <c r="BM106" s="6">
        <v>30</v>
      </c>
      <c r="BN106" s="6">
        <v>10</v>
      </c>
      <c r="BO106" s="6">
        <v>10</v>
      </c>
      <c r="BP106" s="5"/>
      <c r="BQ106" s="43">
        <v>0.2</v>
      </c>
      <c r="BR106" s="43">
        <v>0.02</v>
      </c>
      <c r="BS106" s="43">
        <v>2.2000000000000002</v>
      </c>
      <c r="BT106" s="44">
        <v>0.02</v>
      </c>
      <c r="BU106" s="43">
        <v>-7.0000000000000007E-2</v>
      </c>
      <c r="BV106" s="5"/>
      <c r="BW106" s="43">
        <v>0.05</v>
      </c>
      <c r="BX106" s="43">
        <v>0.32</v>
      </c>
      <c r="BY106" s="43">
        <v>0.4</v>
      </c>
      <c r="BZ106" s="44">
        <v>0</v>
      </c>
      <c r="CA106" s="43">
        <v>0.03</v>
      </c>
      <c r="CB106" s="5"/>
      <c r="CC106" s="45">
        <f t="shared" si="113"/>
        <v>-1.5000000000000003E-2</v>
      </c>
      <c r="CD106" s="45">
        <f t="shared" si="114"/>
        <v>7.4999999999999997E-3</v>
      </c>
      <c r="CE106" s="45">
        <f t="shared" si="115"/>
        <v>-6.0000000000000012E-2</v>
      </c>
      <c r="CF106" s="46">
        <f t="shared" si="116"/>
        <v>-2E-3</v>
      </c>
      <c r="CG106" s="45">
        <f t="shared" si="117"/>
        <v>0.01</v>
      </c>
      <c r="CH106" s="5"/>
      <c r="CI106" s="44">
        <f t="shared" si="118"/>
        <v>10</v>
      </c>
      <c r="CJ106" s="44">
        <f t="shared" si="119"/>
        <v>9.8800737505679983</v>
      </c>
      <c r="CK106" s="44">
        <f t="shared" si="120"/>
        <v>30</v>
      </c>
      <c r="CL106" s="44">
        <f t="shared" si="121"/>
        <v>0</v>
      </c>
      <c r="CM106" s="44">
        <f t="shared" si="122"/>
        <v>5.9826495505160917</v>
      </c>
      <c r="CN106" s="47">
        <f t="shared" si="123"/>
        <v>0</v>
      </c>
      <c r="CO106" s="5"/>
      <c r="CP106" s="47">
        <f t="shared" si="124"/>
        <v>7.5000000000000023E-3</v>
      </c>
      <c r="CQ106" s="47">
        <f t="shared" si="125"/>
        <v>1.8994468707399931E-3</v>
      </c>
      <c r="CR106" s="47">
        <f t="shared" si="126"/>
        <v>0.79132910927829281</v>
      </c>
      <c r="CS106" s="47">
        <f t="shared" si="127"/>
        <v>0.10000000000000053</v>
      </c>
      <c r="CT106" s="47">
        <f t="shared" si="128"/>
        <v>1.3173504494839087E-2</v>
      </c>
      <c r="CU106" s="47">
        <f t="shared" si="129"/>
        <v>0.91390206064387247</v>
      </c>
    </row>
    <row r="107" spans="1:99" ht="15" customHeight="1">
      <c r="A107" s="5"/>
      <c r="B107" s="37" t="s">
        <v>31</v>
      </c>
      <c r="C107" s="37" t="s">
        <v>252</v>
      </c>
      <c r="D107" s="37" t="s">
        <v>255</v>
      </c>
      <c r="E107" s="26">
        <v>42551</v>
      </c>
      <c r="F107" s="38">
        <f t="shared" si="109"/>
        <v>63.266861206746263</v>
      </c>
      <c r="G107" s="4">
        <v>44272031</v>
      </c>
      <c r="H107" s="4">
        <f>159529171-147122761</f>
        <v>12406410</v>
      </c>
      <c r="I107" s="4">
        <v>190879357</v>
      </c>
      <c r="J107" s="4">
        <v>40174325</v>
      </c>
      <c r="K107" s="4">
        <v>-39056044</v>
      </c>
      <c r="L107" s="4">
        <v>83596779</v>
      </c>
      <c r="M107" s="4">
        <v>10066886</v>
      </c>
      <c r="N107" s="4">
        <v>8086838</v>
      </c>
      <c r="O107" s="4">
        <v>15386944</v>
      </c>
      <c r="P107" s="4">
        <f>O107+N107+M107+L107</f>
        <v>117137447</v>
      </c>
      <c r="Q107" s="4">
        <v>111592389</v>
      </c>
      <c r="R107" s="4">
        <f t="shared" si="131"/>
        <v>5545058</v>
      </c>
      <c r="S107" s="27">
        <v>96126185</v>
      </c>
      <c r="T107" s="27">
        <v>97015891</v>
      </c>
      <c r="U107" s="27">
        <v>111962529</v>
      </c>
      <c r="V107" s="27">
        <v>133097526</v>
      </c>
      <c r="W107" s="27">
        <v>-12468</v>
      </c>
      <c r="X107" s="27">
        <v>5639508</v>
      </c>
      <c r="Y107" s="27">
        <v>40670974</v>
      </c>
      <c r="Z107" s="27">
        <v>25510615</v>
      </c>
      <c r="AA107" s="27">
        <v>74426376</v>
      </c>
      <c r="AB107" s="27">
        <f t="shared" ref="AB107:AB116" si="133">X107+Y107+Z107+AA107</f>
        <v>146247473</v>
      </c>
      <c r="AC107" s="27">
        <v>25510615</v>
      </c>
      <c r="AD107" s="27">
        <v>0</v>
      </c>
      <c r="AE107" s="27">
        <f>AC107+AD107</f>
        <v>25510615</v>
      </c>
      <c r="AF107" s="27">
        <v>0</v>
      </c>
      <c r="AG107" s="27">
        <v>5651126</v>
      </c>
      <c r="AH107" s="27">
        <v>5780610</v>
      </c>
      <c r="AI107" s="27">
        <v>1827170</v>
      </c>
      <c r="AJ107" s="26">
        <v>42185</v>
      </c>
      <c r="AK107" s="39">
        <v>0</v>
      </c>
      <c r="AL107" s="39">
        <v>71472207</v>
      </c>
      <c r="AM107" s="39">
        <v>71472207</v>
      </c>
      <c r="AN107" s="40">
        <v>0</v>
      </c>
      <c r="AO107" s="40">
        <v>0.04</v>
      </c>
      <c r="AP107" s="40">
        <v>0.04</v>
      </c>
      <c r="AQ107" s="27">
        <v>1470085</v>
      </c>
      <c r="AR107" s="27">
        <v>1344518</v>
      </c>
      <c r="AS107" s="27">
        <v>78957</v>
      </c>
      <c r="AT107" s="27">
        <v>0</v>
      </c>
      <c r="AU107" s="27">
        <v>0</v>
      </c>
      <c r="AV107" s="27">
        <v>4673420</v>
      </c>
      <c r="AW107" s="27">
        <v>7748336</v>
      </c>
      <c r="AX107" s="27">
        <f t="shared" si="130"/>
        <v>12500713</v>
      </c>
      <c r="AY107" s="27">
        <v>609467</v>
      </c>
      <c r="AZ107" s="27">
        <v>6592191</v>
      </c>
      <c r="BA107" s="27">
        <v>3085717</v>
      </c>
      <c r="BB107" s="27">
        <v>4673420</v>
      </c>
      <c r="BC107" s="27">
        <v>7223656</v>
      </c>
      <c r="BD107" s="27">
        <f t="shared" si="106"/>
        <v>22184451</v>
      </c>
      <c r="BE107" s="29">
        <f t="shared" si="110"/>
        <v>1.2550085712556122E-2</v>
      </c>
      <c r="BF107" s="29">
        <f t="shared" si="111"/>
        <v>0.12885222071505792</v>
      </c>
      <c r="BG107" s="29">
        <f t="shared" si="112"/>
        <v>0.90130442231680186</v>
      </c>
      <c r="BH107" s="42">
        <f>VLOOKUP(B107,Unemployment!$A$2:$F$193,6,0)</f>
        <v>-0.5</v>
      </c>
      <c r="BI107" s="29">
        <f>VLOOKUP(B107,Zillow!$C$11:$R$193,16,0)</f>
        <v>1.0830548335190719E-3</v>
      </c>
      <c r="BJ107" s="5"/>
      <c r="BK107" s="6">
        <v>10</v>
      </c>
      <c r="BL107" s="6">
        <v>40</v>
      </c>
      <c r="BM107" s="6">
        <v>30</v>
      </c>
      <c r="BN107" s="6">
        <v>10</v>
      </c>
      <c r="BO107" s="6">
        <v>10</v>
      </c>
      <c r="BP107" s="5"/>
      <c r="BQ107" s="43">
        <v>0.2</v>
      </c>
      <c r="BR107" s="43">
        <v>0.02</v>
      </c>
      <c r="BS107" s="43">
        <v>2.2000000000000002</v>
      </c>
      <c r="BT107" s="44">
        <v>0.02</v>
      </c>
      <c r="BU107" s="43">
        <v>-7.0000000000000007E-2</v>
      </c>
      <c r="BV107" s="5"/>
      <c r="BW107" s="43">
        <v>0.05</v>
      </c>
      <c r="BX107" s="43">
        <v>0.32</v>
      </c>
      <c r="BY107" s="43">
        <v>0.4</v>
      </c>
      <c r="BZ107" s="44">
        <v>0</v>
      </c>
      <c r="CA107" s="43">
        <v>0.03</v>
      </c>
      <c r="CB107" s="5"/>
      <c r="CC107" s="45">
        <f t="shared" si="113"/>
        <v>-1.5000000000000003E-2</v>
      </c>
      <c r="CD107" s="45">
        <f t="shared" si="114"/>
        <v>7.4999999999999997E-3</v>
      </c>
      <c r="CE107" s="45">
        <f t="shared" si="115"/>
        <v>-6.0000000000000012E-2</v>
      </c>
      <c r="CF107" s="46">
        <f t="shared" si="116"/>
        <v>-2E-3</v>
      </c>
      <c r="CG107" s="45">
        <f t="shared" si="117"/>
        <v>0.01</v>
      </c>
      <c r="CH107" s="5"/>
      <c r="CI107" s="44">
        <f t="shared" si="118"/>
        <v>10</v>
      </c>
      <c r="CJ107" s="44">
        <f t="shared" si="119"/>
        <v>14.51362942867439</v>
      </c>
      <c r="CK107" s="44">
        <f t="shared" si="120"/>
        <v>21.644926294719969</v>
      </c>
      <c r="CL107" s="44">
        <f t="shared" si="121"/>
        <v>10</v>
      </c>
      <c r="CM107" s="44">
        <f t="shared" si="122"/>
        <v>7.1083054833519075</v>
      </c>
      <c r="CN107" s="47">
        <f t="shared" si="123"/>
        <v>0</v>
      </c>
      <c r="CO107" s="5"/>
      <c r="CP107" s="47">
        <f t="shared" si="124"/>
        <v>2.0050085712556124E-2</v>
      </c>
      <c r="CQ107" s="47">
        <f t="shared" si="125"/>
        <v>3.2852220715057931E-2</v>
      </c>
      <c r="CR107" s="47">
        <f t="shared" si="126"/>
        <v>1.6213044223168021</v>
      </c>
      <c r="CS107" s="47">
        <f t="shared" si="127"/>
        <v>0.5</v>
      </c>
      <c r="CT107" s="47">
        <f t="shared" si="128"/>
        <v>1.9169451664809278E-3</v>
      </c>
      <c r="CU107" s="47">
        <f t="shared" si="129"/>
        <v>2.1761236739108969</v>
      </c>
    </row>
    <row r="108" spans="1:99" ht="15" customHeight="1">
      <c r="A108" s="5"/>
      <c r="B108" s="37" t="s">
        <v>57</v>
      </c>
      <c r="C108" s="37" t="s">
        <v>252</v>
      </c>
      <c r="D108" s="37" t="s">
        <v>255</v>
      </c>
      <c r="E108" s="26">
        <v>42551</v>
      </c>
      <c r="F108" s="38">
        <f t="shared" si="109"/>
        <v>68.12275601227546</v>
      </c>
      <c r="G108" s="4">
        <f>17485609-11642443</f>
        <v>5843166</v>
      </c>
      <c r="H108" s="4">
        <f>4569794-1818993</f>
        <v>2750801</v>
      </c>
      <c r="I108" s="4">
        <v>17485609</v>
      </c>
      <c r="J108" s="4">
        <v>12915815</v>
      </c>
      <c r="K108" s="4">
        <v>3132986</v>
      </c>
      <c r="L108" s="4">
        <v>15011408</v>
      </c>
      <c r="M108" s="4">
        <v>138359</v>
      </c>
      <c r="N108" s="4">
        <v>547381</v>
      </c>
      <c r="O108" s="4">
        <v>5149313</v>
      </c>
      <c r="P108" s="4">
        <f>O108+N108+M108+L108</f>
        <v>20846461</v>
      </c>
      <c r="Q108" s="4">
        <v>20487855</v>
      </c>
      <c r="R108" s="4">
        <f t="shared" si="131"/>
        <v>358606</v>
      </c>
      <c r="S108" s="27">
        <v>19825306</v>
      </c>
      <c r="T108" s="27">
        <v>19158525</v>
      </c>
      <c r="U108" s="27">
        <v>20607984</v>
      </c>
      <c r="V108" s="27">
        <v>20619070</v>
      </c>
      <c r="W108" s="27">
        <v>-61028</v>
      </c>
      <c r="X108" s="27">
        <v>443712</v>
      </c>
      <c r="Y108" s="27">
        <v>0</v>
      </c>
      <c r="Z108" s="27">
        <v>1339847</v>
      </c>
      <c r="AA108" s="27">
        <v>35434</v>
      </c>
      <c r="AB108" s="27">
        <f t="shared" si="133"/>
        <v>1818993</v>
      </c>
      <c r="AC108" s="27">
        <v>1339847</v>
      </c>
      <c r="AD108" s="27">
        <v>0</v>
      </c>
      <c r="AE108" s="27">
        <f>AC108+AD108</f>
        <v>1339847</v>
      </c>
      <c r="AF108" s="27">
        <v>0</v>
      </c>
      <c r="AG108" s="27">
        <v>283920</v>
      </c>
      <c r="AH108" s="27">
        <v>294663</v>
      </c>
      <c r="AI108" s="27">
        <v>137712</v>
      </c>
      <c r="AJ108" s="26">
        <v>41821</v>
      </c>
      <c r="AK108" s="39">
        <v>0</v>
      </c>
      <c r="AL108" s="39">
        <v>5779313</v>
      </c>
      <c r="AM108" s="39">
        <v>5779313</v>
      </c>
      <c r="AN108" s="40">
        <v>0</v>
      </c>
      <c r="AO108" s="40">
        <v>0.04</v>
      </c>
      <c r="AP108" s="50" t="s">
        <v>298</v>
      </c>
      <c r="AQ108" s="27"/>
      <c r="AR108" s="27"/>
      <c r="AS108" s="27">
        <v>2429</v>
      </c>
      <c r="AT108" s="27">
        <v>0</v>
      </c>
      <c r="AU108" s="27">
        <v>0</v>
      </c>
      <c r="AV108" s="27">
        <v>199992</v>
      </c>
      <c r="AW108" s="27">
        <v>1911561</v>
      </c>
      <c r="AX108" s="27">
        <f t="shared" si="130"/>
        <v>2113982</v>
      </c>
      <c r="AY108" s="27">
        <v>5807</v>
      </c>
      <c r="AZ108" s="27">
        <v>494386</v>
      </c>
      <c r="BA108" s="27">
        <v>818851</v>
      </c>
      <c r="BB108" s="27">
        <v>236160</v>
      </c>
      <c r="BC108" s="27">
        <v>872458</v>
      </c>
      <c r="BD108" s="27">
        <f t="shared" si="106"/>
        <v>2427662</v>
      </c>
      <c r="BE108" s="29">
        <f t="shared" si="110"/>
        <v>0</v>
      </c>
      <c r="BF108" s="29">
        <f t="shared" si="111"/>
        <v>0.11034158422947486</v>
      </c>
      <c r="BG108" s="29">
        <f t="shared" si="112"/>
        <v>8.7256681122037938E-2</v>
      </c>
      <c r="BH108" s="42">
        <f>VLOOKUP(B108,Unemployment!$A$2:$F$193,6,0)</f>
        <v>-0.79999999999999982</v>
      </c>
      <c r="BI108" s="29">
        <f>VLOOKUP(B108,Zillow!$C$11:$R$193,16,0)</f>
        <v>-9.2278855165452266E-3</v>
      </c>
      <c r="BJ108" s="5"/>
      <c r="BK108" s="6">
        <v>10</v>
      </c>
      <c r="BL108" s="6">
        <v>40</v>
      </c>
      <c r="BM108" s="6">
        <v>30</v>
      </c>
      <c r="BN108" s="6">
        <v>10</v>
      </c>
      <c r="BO108" s="6">
        <v>10</v>
      </c>
      <c r="BP108" s="5"/>
      <c r="BQ108" s="43">
        <v>0.2</v>
      </c>
      <c r="BR108" s="43">
        <v>0.02</v>
      </c>
      <c r="BS108" s="43">
        <v>2.2000000000000002</v>
      </c>
      <c r="BT108" s="44">
        <v>0.02</v>
      </c>
      <c r="BU108" s="43">
        <v>-7.0000000000000007E-2</v>
      </c>
      <c r="BV108" s="5"/>
      <c r="BW108" s="43">
        <v>0.05</v>
      </c>
      <c r="BX108" s="43">
        <v>0.32</v>
      </c>
      <c r="BY108" s="43">
        <v>0.4</v>
      </c>
      <c r="BZ108" s="44">
        <v>0</v>
      </c>
      <c r="CA108" s="43">
        <v>0.03</v>
      </c>
      <c r="CB108" s="5"/>
      <c r="CC108" s="45">
        <f t="shared" si="113"/>
        <v>-1.5000000000000003E-2</v>
      </c>
      <c r="CD108" s="45">
        <f t="shared" si="114"/>
        <v>7.4999999999999997E-3</v>
      </c>
      <c r="CE108" s="45">
        <f t="shared" si="115"/>
        <v>-6.0000000000000012E-2</v>
      </c>
      <c r="CF108" s="46">
        <f t="shared" si="116"/>
        <v>-2E-3</v>
      </c>
      <c r="CG108" s="45">
        <f t="shared" si="117"/>
        <v>0.01</v>
      </c>
      <c r="CH108" s="5"/>
      <c r="CI108" s="44">
        <f t="shared" si="118"/>
        <v>10</v>
      </c>
      <c r="CJ108" s="44">
        <f t="shared" si="119"/>
        <v>12.045544563929981</v>
      </c>
      <c r="CK108" s="44">
        <f t="shared" si="120"/>
        <v>30</v>
      </c>
      <c r="CL108" s="44">
        <f t="shared" si="121"/>
        <v>10</v>
      </c>
      <c r="CM108" s="44">
        <f t="shared" si="122"/>
        <v>6.0772114483454773</v>
      </c>
      <c r="CN108" s="47">
        <f t="shared" si="123"/>
        <v>0</v>
      </c>
      <c r="CO108" s="5"/>
      <c r="CP108" s="47">
        <f t="shared" si="124"/>
        <v>7.5000000000000023E-3</v>
      </c>
      <c r="CQ108" s="47">
        <f t="shared" si="125"/>
        <v>1.4341584229474874E-2</v>
      </c>
      <c r="CR108" s="47">
        <f t="shared" si="126"/>
        <v>0.80725668112203808</v>
      </c>
      <c r="CS108" s="47">
        <f t="shared" si="127"/>
        <v>0.79999999999999982</v>
      </c>
      <c r="CT108" s="47">
        <f t="shared" si="128"/>
        <v>1.2227885516545226E-2</v>
      </c>
      <c r="CU108" s="47">
        <f t="shared" si="129"/>
        <v>1.6413261508680579</v>
      </c>
    </row>
    <row r="109" spans="1:99" ht="15" customHeight="1">
      <c r="A109" s="5"/>
      <c r="B109" s="37" t="s">
        <v>58</v>
      </c>
      <c r="C109" s="37" t="s">
        <v>252</v>
      </c>
      <c r="D109" s="37" t="s">
        <v>258</v>
      </c>
      <c r="E109" s="26">
        <v>42551</v>
      </c>
      <c r="F109" s="38">
        <f t="shared" si="109"/>
        <v>68.404133667933948</v>
      </c>
      <c r="G109" s="4">
        <f>859986713-675156693</f>
        <v>184830020</v>
      </c>
      <c r="H109" s="4">
        <f>528315479-468419895</f>
        <v>59895584</v>
      </c>
      <c r="I109" s="4">
        <v>859986713</v>
      </c>
      <c r="J109" s="4">
        <v>371802819</v>
      </c>
      <c r="K109" s="4">
        <v>-49250798</v>
      </c>
      <c r="L109" s="4">
        <v>308242181</v>
      </c>
      <c r="M109" s="4">
        <v>5946047</v>
      </c>
      <c r="N109" s="4">
        <v>38544198</v>
      </c>
      <c r="O109" s="4">
        <v>59181299</v>
      </c>
      <c r="P109" s="4">
        <f>O109+N109+M109+L109</f>
        <v>411913725</v>
      </c>
      <c r="Q109" s="4">
        <v>415488811</v>
      </c>
      <c r="R109" s="4">
        <f t="shared" si="131"/>
        <v>-3575086</v>
      </c>
      <c r="S109" s="27">
        <v>356597097</v>
      </c>
      <c r="T109" s="27">
        <v>351042468</v>
      </c>
      <c r="U109" s="27">
        <v>391179738</v>
      </c>
      <c r="V109" s="27">
        <v>405016173</v>
      </c>
      <c r="W109" s="27">
        <v>6305972</v>
      </c>
      <c r="X109" s="27">
        <v>42357815</v>
      </c>
      <c r="Y109" s="27">
        <v>129850447</v>
      </c>
      <c r="Z109" s="27">
        <v>34205859</v>
      </c>
      <c r="AA109" s="27">
        <v>262005774</v>
      </c>
      <c r="AB109" s="27">
        <f t="shared" si="133"/>
        <v>468419895</v>
      </c>
      <c r="AC109" s="27">
        <v>34205859</v>
      </c>
      <c r="AD109" s="27">
        <v>0</v>
      </c>
      <c r="AE109" s="27">
        <f>AC109+AD109</f>
        <v>34205859</v>
      </c>
      <c r="AF109" s="27">
        <v>0</v>
      </c>
      <c r="AG109" s="27">
        <v>20217000</v>
      </c>
      <c r="AH109" s="27">
        <v>20471199</v>
      </c>
      <c r="AI109" s="27">
        <v>15676271</v>
      </c>
      <c r="AJ109" s="26">
        <v>42186</v>
      </c>
      <c r="AK109" s="39">
        <v>54907000</v>
      </c>
      <c r="AL109" s="39">
        <v>264676000</v>
      </c>
      <c r="AM109" s="39">
        <v>209769000</v>
      </c>
      <c r="AN109" s="41">
        <v>0.21</v>
      </c>
      <c r="AO109" s="40">
        <v>7.4999999999999997E-2</v>
      </c>
      <c r="AP109" s="40">
        <v>0.03</v>
      </c>
      <c r="AQ109" s="27">
        <v>11784882</v>
      </c>
      <c r="AR109" s="27">
        <v>11904117</v>
      </c>
      <c r="AS109" s="27">
        <v>9586</v>
      </c>
      <c r="AT109" s="27">
        <v>0</v>
      </c>
      <c r="AU109" s="27">
        <v>3100000</v>
      </c>
      <c r="AV109" s="27">
        <v>621275</v>
      </c>
      <c r="AW109" s="27">
        <v>47362740</v>
      </c>
      <c r="AX109" s="27">
        <f t="shared" si="130"/>
        <v>51093601</v>
      </c>
      <c r="AY109" s="27">
        <v>42347</v>
      </c>
      <c r="AZ109" s="27">
        <v>5276011</v>
      </c>
      <c r="BA109" s="27">
        <v>5629953</v>
      </c>
      <c r="BB109" s="27">
        <v>621275</v>
      </c>
      <c r="BC109" s="27">
        <v>47347610</v>
      </c>
      <c r="BD109" s="27">
        <f t="shared" si="106"/>
        <v>58917196</v>
      </c>
      <c r="BE109" s="29">
        <f t="shared" si="110"/>
        <v>2.8610073626461462E-2</v>
      </c>
      <c r="BF109" s="29">
        <f t="shared" si="111"/>
        <v>0.14554820472604471</v>
      </c>
      <c r="BG109" s="29">
        <f t="shared" si="112"/>
        <v>0.82194262402885454</v>
      </c>
      <c r="BH109" s="42">
        <f>VLOOKUP(B109,Unemployment!$A$2:$F$193,6,0)</f>
        <v>-0.5</v>
      </c>
      <c r="BI109" s="29">
        <f>VLOOKUP(B109,Zillow!$C$11:$R$193,16,0)</f>
        <v>1.6967501049422264E-2</v>
      </c>
      <c r="BJ109" s="5"/>
      <c r="BK109" s="6">
        <v>10</v>
      </c>
      <c r="BL109" s="6">
        <v>40</v>
      </c>
      <c r="BM109" s="6">
        <v>30</v>
      </c>
      <c r="BN109" s="6">
        <v>10</v>
      </c>
      <c r="BO109" s="6">
        <v>10</v>
      </c>
      <c r="BP109" s="5"/>
      <c r="BQ109" s="43">
        <v>0.2</v>
      </c>
      <c r="BR109" s="43">
        <v>0.02</v>
      </c>
      <c r="BS109" s="43">
        <v>2.2000000000000002</v>
      </c>
      <c r="BT109" s="44">
        <v>0.02</v>
      </c>
      <c r="BU109" s="43">
        <v>-7.0000000000000007E-2</v>
      </c>
      <c r="BV109" s="5"/>
      <c r="BW109" s="43">
        <v>0.05</v>
      </c>
      <c r="BX109" s="43">
        <v>0.32</v>
      </c>
      <c r="BY109" s="43">
        <v>0.4</v>
      </c>
      <c r="BZ109" s="44">
        <v>0</v>
      </c>
      <c r="CA109" s="43">
        <v>0.03</v>
      </c>
      <c r="CB109" s="5"/>
      <c r="CC109" s="45">
        <f t="shared" si="113"/>
        <v>-1.5000000000000003E-2</v>
      </c>
      <c r="CD109" s="45">
        <f t="shared" si="114"/>
        <v>7.4999999999999997E-3</v>
      </c>
      <c r="CE109" s="45">
        <f t="shared" si="115"/>
        <v>-6.0000000000000012E-2</v>
      </c>
      <c r="CF109" s="46">
        <f t="shared" si="116"/>
        <v>-2E-3</v>
      </c>
      <c r="CG109" s="45">
        <f t="shared" si="117"/>
        <v>0.01</v>
      </c>
      <c r="CH109" s="5"/>
      <c r="CI109" s="44">
        <f t="shared" si="118"/>
        <v>10</v>
      </c>
      <c r="CJ109" s="44">
        <f t="shared" si="119"/>
        <v>16.739760630139298</v>
      </c>
      <c r="CK109" s="44">
        <f t="shared" si="120"/>
        <v>22.967622932852422</v>
      </c>
      <c r="CL109" s="44">
        <f t="shared" si="121"/>
        <v>10</v>
      </c>
      <c r="CM109" s="44">
        <f t="shared" si="122"/>
        <v>8.6967501049422271</v>
      </c>
      <c r="CN109" s="47">
        <f t="shared" si="123"/>
        <v>0</v>
      </c>
      <c r="CO109" s="5"/>
      <c r="CP109" s="47">
        <f t="shared" si="124"/>
        <v>3.6110073626461466E-2</v>
      </c>
      <c r="CQ109" s="47">
        <f t="shared" si="125"/>
        <v>4.9548204726044723E-2</v>
      </c>
      <c r="CR109" s="47">
        <f t="shared" si="126"/>
        <v>1.5419426240288547</v>
      </c>
      <c r="CS109" s="47">
        <f t="shared" si="127"/>
        <v>0.5</v>
      </c>
      <c r="CT109" s="47">
        <f t="shared" si="128"/>
        <v>1.3967501049422265E-2</v>
      </c>
      <c r="CU109" s="47">
        <f t="shared" si="129"/>
        <v>2.1415684034307834</v>
      </c>
    </row>
    <row r="110" spans="1:99" ht="15" customHeight="1">
      <c r="A110" s="5"/>
      <c r="B110" s="37" t="s">
        <v>78</v>
      </c>
      <c r="C110" s="37" t="s">
        <v>252</v>
      </c>
      <c r="D110" s="37" t="s">
        <v>255</v>
      </c>
      <c r="E110" s="26">
        <v>42551</v>
      </c>
      <c r="F110" s="38">
        <f t="shared" si="109"/>
        <v>72.045192153747948</v>
      </c>
      <c r="G110" s="4">
        <f>107706*1000</f>
        <v>107706000</v>
      </c>
      <c r="H110" s="4">
        <v>19405000</v>
      </c>
      <c r="I110" s="4">
        <v>378360000</v>
      </c>
      <c r="J110" s="4">
        <v>170006000</v>
      </c>
      <c r="K110" s="4">
        <v>-35875000</v>
      </c>
      <c r="L110" s="4">
        <v>87868000</v>
      </c>
      <c r="M110" s="4">
        <v>6276000</v>
      </c>
      <c r="N110" s="4">
        <v>96474000</v>
      </c>
      <c r="O110" s="4">
        <v>60567000</v>
      </c>
      <c r="P110" s="4">
        <f>O110+N110+M110+L110</f>
        <v>251185000</v>
      </c>
      <c r="Q110" s="4">
        <v>248322000</v>
      </c>
      <c r="R110" s="4">
        <f t="shared" si="131"/>
        <v>2863000</v>
      </c>
      <c r="S110" s="27">
        <v>126190000</v>
      </c>
      <c r="T110" s="27">
        <v>120575000</v>
      </c>
      <c r="U110" s="27">
        <v>157672000</v>
      </c>
      <c r="V110" s="27">
        <v>165205000</v>
      </c>
      <c r="W110" s="27">
        <v>4480000</v>
      </c>
      <c r="X110" s="27">
        <f>8531+3540</f>
        <v>12071</v>
      </c>
      <c r="Y110" s="27">
        <f>78219+37980</f>
        <v>116199</v>
      </c>
      <c r="Z110" s="27">
        <v>37980</v>
      </c>
      <c r="AA110" s="27">
        <v>49488</v>
      </c>
      <c r="AB110" s="27">
        <f t="shared" si="133"/>
        <v>215738</v>
      </c>
      <c r="AC110" s="27">
        <v>4765</v>
      </c>
      <c r="AD110" s="27">
        <v>0</v>
      </c>
      <c r="AE110" s="27">
        <f>AC110+AD110</f>
        <v>4765</v>
      </c>
      <c r="AF110" s="27">
        <v>0</v>
      </c>
      <c r="AG110" s="27">
        <v>5566</v>
      </c>
      <c r="AH110" s="27">
        <v>5551</v>
      </c>
      <c r="AI110" s="27">
        <v>5566</v>
      </c>
      <c r="AJ110" s="26">
        <v>42186</v>
      </c>
      <c r="AK110" s="39">
        <v>13586</v>
      </c>
      <c r="AL110" s="39">
        <v>57409</v>
      </c>
      <c r="AM110" s="39">
        <f>AL110-AK110</f>
        <v>43823</v>
      </c>
      <c r="AN110" s="40">
        <f>AK110/AL110</f>
        <v>0.23665278963228761</v>
      </c>
      <c r="AO110" s="40">
        <v>7.7499999999999999E-2</v>
      </c>
      <c r="AP110" s="40">
        <v>0.03</v>
      </c>
      <c r="AQ110" s="27">
        <v>9740000</v>
      </c>
      <c r="AR110" s="27">
        <v>7581000</v>
      </c>
      <c r="AS110" s="27">
        <v>0</v>
      </c>
      <c r="AT110" s="27">
        <v>0</v>
      </c>
      <c r="AU110" s="27">
        <v>0</v>
      </c>
      <c r="AV110" s="27">
        <v>227000</v>
      </c>
      <c r="AW110" s="27">
        <v>14652000</v>
      </c>
      <c r="AX110" s="27">
        <f t="shared" si="130"/>
        <v>14879000</v>
      </c>
      <c r="AY110" s="27">
        <v>1584000</v>
      </c>
      <c r="AZ110" s="27">
        <v>5102000</v>
      </c>
      <c r="BA110" s="27">
        <v>5030000</v>
      </c>
      <c r="BB110" s="27">
        <v>227000</v>
      </c>
      <c r="BC110" s="27">
        <v>14579000</v>
      </c>
      <c r="BD110" s="27">
        <f t="shared" si="106"/>
        <v>26522000</v>
      </c>
      <c r="BE110" s="29">
        <f t="shared" si="110"/>
        <v>3.8776200808169278E-2</v>
      </c>
      <c r="BF110" s="29">
        <f t="shared" si="111"/>
        <v>0.12340037321169396</v>
      </c>
      <c r="BG110" s="29">
        <f t="shared" si="112"/>
        <v>3.9627764396759361E-4</v>
      </c>
      <c r="BH110" s="42">
        <f>VLOOKUP(B110,Unemployment!$A$2:$F$193,6,0)</f>
        <v>-1.2000000000000002</v>
      </c>
      <c r="BI110" s="29">
        <f>VLOOKUP(B110,Zillow!$C$11:$R$193,16,0)</f>
        <v>1.2584757255220921E-2</v>
      </c>
      <c r="BJ110" s="5"/>
      <c r="BK110" s="6">
        <v>10</v>
      </c>
      <c r="BL110" s="6">
        <v>40</v>
      </c>
      <c r="BM110" s="6">
        <v>30</v>
      </c>
      <c r="BN110" s="6">
        <v>10</v>
      </c>
      <c r="BO110" s="6">
        <v>10</v>
      </c>
      <c r="BP110" s="5"/>
      <c r="BQ110" s="43">
        <v>0.2</v>
      </c>
      <c r="BR110" s="43">
        <v>0.02</v>
      </c>
      <c r="BS110" s="43">
        <v>2.2000000000000002</v>
      </c>
      <c r="BT110" s="44">
        <v>0.02</v>
      </c>
      <c r="BU110" s="43">
        <v>-7.0000000000000007E-2</v>
      </c>
      <c r="BV110" s="5"/>
      <c r="BW110" s="43">
        <v>0.05</v>
      </c>
      <c r="BX110" s="43">
        <v>0.32</v>
      </c>
      <c r="BY110" s="43">
        <v>0.4</v>
      </c>
      <c r="BZ110" s="44">
        <v>0</v>
      </c>
      <c r="CA110" s="43">
        <v>0.03</v>
      </c>
      <c r="CB110" s="5"/>
      <c r="CC110" s="45">
        <f t="shared" si="113"/>
        <v>-1.5000000000000003E-2</v>
      </c>
      <c r="CD110" s="45">
        <f t="shared" si="114"/>
        <v>7.4999999999999997E-3</v>
      </c>
      <c r="CE110" s="45">
        <f t="shared" si="115"/>
        <v>-6.0000000000000012E-2</v>
      </c>
      <c r="CF110" s="46">
        <f t="shared" si="116"/>
        <v>-2E-3</v>
      </c>
      <c r="CG110" s="45">
        <f t="shared" si="117"/>
        <v>0.01</v>
      </c>
      <c r="CH110" s="5"/>
      <c r="CI110" s="44">
        <f t="shared" si="118"/>
        <v>10</v>
      </c>
      <c r="CJ110" s="44">
        <f t="shared" si="119"/>
        <v>13.786716428225862</v>
      </c>
      <c r="CK110" s="44">
        <f t="shared" si="120"/>
        <v>30</v>
      </c>
      <c r="CL110" s="44">
        <f t="shared" si="121"/>
        <v>10</v>
      </c>
      <c r="CM110" s="44">
        <f t="shared" si="122"/>
        <v>8.2584757255220929</v>
      </c>
      <c r="CN110" s="47">
        <f t="shared" si="123"/>
        <v>0</v>
      </c>
      <c r="CO110" s="5"/>
      <c r="CP110" s="47">
        <f t="shared" si="124"/>
        <v>4.6276200808169278E-2</v>
      </c>
      <c r="CQ110" s="47">
        <f t="shared" si="125"/>
        <v>2.7400373211693974E-2</v>
      </c>
      <c r="CR110" s="47">
        <f t="shared" si="126"/>
        <v>0.72039627764396774</v>
      </c>
      <c r="CS110" s="47">
        <f t="shared" si="127"/>
        <v>1.2000000000000002</v>
      </c>
      <c r="CT110" s="47">
        <f t="shared" si="128"/>
        <v>9.5847572552209218E-3</v>
      </c>
      <c r="CU110" s="47">
        <f t="shared" si="129"/>
        <v>2.0036576089190521</v>
      </c>
    </row>
    <row r="111" spans="1:99" ht="15" customHeight="1">
      <c r="A111" s="5"/>
      <c r="B111" s="37" t="s">
        <v>162</v>
      </c>
      <c r="C111" s="37" t="s">
        <v>252</v>
      </c>
      <c r="D111" s="37" t="s">
        <v>255</v>
      </c>
      <c r="E111" s="26">
        <v>42551</v>
      </c>
      <c r="F111" s="38">
        <f t="shared" si="109"/>
        <v>93.753819597305807</v>
      </c>
      <c r="G111" s="4">
        <v>12225164</v>
      </c>
      <c r="H111" s="4">
        <v>1493604</v>
      </c>
      <c r="I111" s="4">
        <v>32180052</v>
      </c>
      <c r="J111" s="4">
        <v>27720501</v>
      </c>
      <c r="K111" s="4">
        <v>10916572</v>
      </c>
      <c r="L111" s="4">
        <v>32713937</v>
      </c>
      <c r="M111" s="4">
        <v>394259</v>
      </c>
      <c r="N111" s="4">
        <v>1116050</v>
      </c>
      <c r="O111" s="4">
        <v>2766825</v>
      </c>
      <c r="P111" s="4">
        <f>SUM(L111:O111)</f>
        <v>36991071</v>
      </c>
      <c r="Q111" s="4">
        <v>34263090</v>
      </c>
      <c r="R111" s="4">
        <f t="shared" si="131"/>
        <v>2727981</v>
      </c>
      <c r="S111" s="27">
        <v>35132803</v>
      </c>
      <c r="T111" s="27">
        <v>33134143</v>
      </c>
      <c r="U111" s="27">
        <v>36893442</v>
      </c>
      <c r="V111" s="27">
        <v>35278980</v>
      </c>
      <c r="W111" s="27">
        <v>1419860</v>
      </c>
      <c r="X111" s="27">
        <v>419098</v>
      </c>
      <c r="Y111" s="27">
        <v>0</v>
      </c>
      <c r="Z111" s="27">
        <v>0</v>
      </c>
      <c r="AA111" s="27">
        <f>3337621-419098</f>
        <v>2918523</v>
      </c>
      <c r="AB111" s="27">
        <f t="shared" si="133"/>
        <v>3337621</v>
      </c>
      <c r="AC111" s="27"/>
      <c r="AD111" s="27"/>
      <c r="AE111" s="27"/>
      <c r="AF111" s="27"/>
      <c r="AG111" s="27"/>
      <c r="AH111" s="27"/>
      <c r="AI111" s="27"/>
      <c r="AJ111" s="26"/>
      <c r="AK111" s="49"/>
      <c r="AL111" s="49"/>
      <c r="AM111" s="39"/>
      <c r="AN111" s="40"/>
      <c r="AO111" s="40"/>
      <c r="AP111" s="40"/>
      <c r="AQ111" s="27"/>
      <c r="AR111" s="27"/>
      <c r="AS111" s="27">
        <v>658924</v>
      </c>
      <c r="AT111" s="27">
        <v>0</v>
      </c>
      <c r="AU111" s="27">
        <v>0</v>
      </c>
      <c r="AV111" s="27">
        <v>534609</v>
      </c>
      <c r="AW111" s="27">
        <v>7857179</v>
      </c>
      <c r="AX111" s="27">
        <f t="shared" si="130"/>
        <v>9050712</v>
      </c>
      <c r="AY111" s="27">
        <v>658924</v>
      </c>
      <c r="AZ111" s="27">
        <v>0</v>
      </c>
      <c r="BA111" s="27">
        <v>1401957</v>
      </c>
      <c r="BB111" s="27">
        <v>839864</v>
      </c>
      <c r="BC111" s="27">
        <v>7857152</v>
      </c>
      <c r="BD111" s="27">
        <f t="shared" si="106"/>
        <v>10757897</v>
      </c>
      <c r="BE111" s="29">
        <f t="shared" si="110"/>
        <v>0</v>
      </c>
      <c r="BF111" s="29">
        <f t="shared" si="111"/>
        <v>0.27315364697979361</v>
      </c>
      <c r="BG111" s="29">
        <f t="shared" si="112"/>
        <v>9.0227747123082763E-2</v>
      </c>
      <c r="BH111" s="42">
        <f>VLOOKUP(B111,Unemployment!$A$2:$F$193,6,0)</f>
        <v>-0.79999999999999982</v>
      </c>
      <c r="BI111" s="29">
        <f>VLOOKUP(B111,Zillow!$C$11:$R$193,16,0)</f>
        <v>3.0754803183687323E-2</v>
      </c>
      <c r="BJ111" s="5"/>
      <c r="BK111" s="6">
        <v>10</v>
      </c>
      <c r="BL111" s="6">
        <v>40</v>
      </c>
      <c r="BM111" s="6">
        <v>30</v>
      </c>
      <c r="BN111" s="6">
        <v>10</v>
      </c>
      <c r="BO111" s="6">
        <v>10</v>
      </c>
      <c r="BP111" s="5"/>
      <c r="BQ111" s="43">
        <v>0.2</v>
      </c>
      <c r="BR111" s="43">
        <v>0.02</v>
      </c>
      <c r="BS111" s="43">
        <v>2.2000000000000002</v>
      </c>
      <c r="BT111" s="44">
        <v>0.02</v>
      </c>
      <c r="BU111" s="43">
        <v>-7.0000000000000007E-2</v>
      </c>
      <c r="BV111" s="5"/>
      <c r="BW111" s="43">
        <v>0.05</v>
      </c>
      <c r="BX111" s="43">
        <v>0.32</v>
      </c>
      <c r="BY111" s="43">
        <v>0.4</v>
      </c>
      <c r="BZ111" s="44">
        <v>0</v>
      </c>
      <c r="CA111" s="43">
        <v>0.03</v>
      </c>
      <c r="CB111" s="5"/>
      <c r="CC111" s="45">
        <f t="shared" si="113"/>
        <v>-1.5000000000000003E-2</v>
      </c>
      <c r="CD111" s="45">
        <f t="shared" si="114"/>
        <v>7.4999999999999997E-3</v>
      </c>
      <c r="CE111" s="45">
        <f t="shared" si="115"/>
        <v>-6.0000000000000012E-2</v>
      </c>
      <c r="CF111" s="46">
        <f t="shared" si="116"/>
        <v>-2E-3</v>
      </c>
      <c r="CG111" s="45">
        <f t="shared" si="117"/>
        <v>0.01</v>
      </c>
      <c r="CH111" s="5"/>
      <c r="CI111" s="44">
        <f t="shared" si="118"/>
        <v>10</v>
      </c>
      <c r="CJ111" s="44">
        <f t="shared" si="119"/>
        <v>33.753819597305814</v>
      </c>
      <c r="CK111" s="44">
        <f t="shared" si="120"/>
        <v>30</v>
      </c>
      <c r="CL111" s="44">
        <f t="shared" si="121"/>
        <v>10</v>
      </c>
      <c r="CM111" s="44">
        <f t="shared" si="122"/>
        <v>10</v>
      </c>
      <c r="CN111" s="47">
        <f t="shared" si="123"/>
        <v>0</v>
      </c>
      <c r="CO111" s="5"/>
      <c r="CP111" s="47">
        <f t="shared" si="124"/>
        <v>7.5000000000000023E-3</v>
      </c>
      <c r="CQ111" s="47">
        <f t="shared" si="125"/>
        <v>0.17715364697979363</v>
      </c>
      <c r="CR111" s="47">
        <f t="shared" si="126"/>
        <v>0.81022774712308299</v>
      </c>
      <c r="CS111" s="47">
        <f t="shared" si="127"/>
        <v>0.79999999999999982</v>
      </c>
      <c r="CT111" s="47">
        <f t="shared" si="128"/>
        <v>2.7754803183687324E-2</v>
      </c>
      <c r="CU111" s="47">
        <f t="shared" si="129"/>
        <v>1.8226361972865639</v>
      </c>
    </row>
    <row r="112" spans="1:99" ht="15" customHeight="1">
      <c r="A112" s="5"/>
      <c r="B112" s="37" t="s">
        <v>33</v>
      </c>
      <c r="C112" s="37" t="s">
        <v>252</v>
      </c>
      <c r="D112" s="37" t="s">
        <v>255</v>
      </c>
      <c r="E112" s="26">
        <v>42551</v>
      </c>
      <c r="F112" s="38">
        <f t="shared" si="109"/>
        <v>63.358162192565061</v>
      </c>
      <c r="G112" s="4">
        <f>127972846-109174416</f>
        <v>18798430</v>
      </c>
      <c r="H112" s="4">
        <f>67620159-58583283</f>
        <v>9036876</v>
      </c>
      <c r="I112" s="4">
        <v>127972846</v>
      </c>
      <c r="J112" s="4">
        <v>68041947</v>
      </c>
      <c r="K112" s="4">
        <v>-5819021</v>
      </c>
      <c r="L112" s="4">
        <v>41946798</v>
      </c>
      <c r="M112" s="4">
        <v>855812</v>
      </c>
      <c r="N112" s="4">
        <v>4696170</v>
      </c>
      <c r="O112" s="4">
        <v>6089136</v>
      </c>
      <c r="P112" s="4">
        <f>O112+N112+M112+L112</f>
        <v>53587916</v>
      </c>
      <c r="Q112" s="4">
        <v>51721174</v>
      </c>
      <c r="R112" s="4">
        <f t="shared" si="131"/>
        <v>1866742</v>
      </c>
      <c r="S112" s="27">
        <v>47605190</v>
      </c>
      <c r="T112" s="27">
        <v>46004771</v>
      </c>
      <c r="U112" s="27">
        <v>52107500</v>
      </c>
      <c r="V112" s="27">
        <v>54354661</v>
      </c>
      <c r="W112" s="27">
        <v>735820</v>
      </c>
      <c r="X112" s="27">
        <v>3113389</v>
      </c>
      <c r="Y112" s="27">
        <f>17276570+1151858</f>
        <v>18428428</v>
      </c>
      <c r="Z112" s="27">
        <v>3311745</v>
      </c>
      <c r="AA112" s="27">
        <v>33729721</v>
      </c>
      <c r="AB112" s="27">
        <f t="shared" si="133"/>
        <v>58583283</v>
      </c>
      <c r="AC112" s="27">
        <v>3311745</v>
      </c>
      <c r="AD112" s="27">
        <v>0</v>
      </c>
      <c r="AE112" s="27">
        <f>AC112+AD112</f>
        <v>3311745</v>
      </c>
      <c r="AF112" s="27">
        <v>0</v>
      </c>
      <c r="AG112" s="27">
        <v>868836</v>
      </c>
      <c r="AH112" s="27">
        <v>879233</v>
      </c>
      <c r="AI112" s="27">
        <v>438492</v>
      </c>
      <c r="AJ112" s="26">
        <v>41821</v>
      </c>
      <c r="AK112" s="39">
        <v>0</v>
      </c>
      <c r="AL112" s="39">
        <v>9241000</v>
      </c>
      <c r="AM112" s="39">
        <v>9241000</v>
      </c>
      <c r="AN112" s="40">
        <f>AK112/AL112</f>
        <v>0</v>
      </c>
      <c r="AO112" s="40">
        <v>0.04</v>
      </c>
      <c r="AP112" s="40">
        <v>2.7E-2</v>
      </c>
      <c r="AQ112" s="27">
        <v>802803</v>
      </c>
      <c r="AR112" s="27">
        <v>475113</v>
      </c>
      <c r="AS112" s="27">
        <v>0</v>
      </c>
      <c r="AT112" s="27">
        <v>143100</v>
      </c>
      <c r="AU112" s="27">
        <v>49589</v>
      </c>
      <c r="AV112" s="27">
        <v>0</v>
      </c>
      <c r="AW112" s="27">
        <v>4229832</v>
      </c>
      <c r="AX112" s="27">
        <f t="shared" si="130"/>
        <v>4422521</v>
      </c>
      <c r="AY112" s="27">
        <v>5000</v>
      </c>
      <c r="AZ112" s="27">
        <v>342259</v>
      </c>
      <c r="BA112" s="27">
        <v>5023078</v>
      </c>
      <c r="BB112" s="27">
        <v>0</v>
      </c>
      <c r="BC112" s="27">
        <v>2615614</v>
      </c>
      <c r="BD112" s="27">
        <f t="shared" si="106"/>
        <v>7985951</v>
      </c>
      <c r="BE112" s="29">
        <f t="shared" si="110"/>
        <v>1.4981045353583073E-2</v>
      </c>
      <c r="BF112" s="29">
        <f t="shared" si="111"/>
        <v>9.6131790331050668E-2</v>
      </c>
      <c r="BG112" s="29">
        <f t="shared" si="112"/>
        <v>0.74932667655894658</v>
      </c>
      <c r="BH112" s="42">
        <f>VLOOKUP(B112,Unemployment!$A$2:$F$193,6,0)</f>
        <v>-0.40000000000000036</v>
      </c>
      <c r="BI112" s="29">
        <f>VLOOKUP(B112,Zillow!$C$11:$R$193,16,0)</f>
        <v>2.0293680910740804E-2</v>
      </c>
      <c r="BJ112" s="5"/>
      <c r="BK112" s="6">
        <v>10</v>
      </c>
      <c r="BL112" s="6">
        <v>40</v>
      </c>
      <c r="BM112" s="6">
        <v>30</v>
      </c>
      <c r="BN112" s="6">
        <v>10</v>
      </c>
      <c r="BO112" s="6">
        <v>10</v>
      </c>
      <c r="BP112" s="5"/>
      <c r="BQ112" s="43">
        <v>0.2</v>
      </c>
      <c r="BR112" s="43">
        <v>0.02</v>
      </c>
      <c r="BS112" s="43">
        <v>2.2000000000000002</v>
      </c>
      <c r="BT112" s="44">
        <v>0.02</v>
      </c>
      <c r="BU112" s="43">
        <v>-7.0000000000000007E-2</v>
      </c>
      <c r="BV112" s="5"/>
      <c r="BW112" s="43">
        <v>0.05</v>
      </c>
      <c r="BX112" s="43">
        <v>0.32</v>
      </c>
      <c r="BY112" s="43">
        <v>0.4</v>
      </c>
      <c r="BZ112" s="44">
        <v>0</v>
      </c>
      <c r="CA112" s="43">
        <v>0.03</v>
      </c>
      <c r="CB112" s="5"/>
      <c r="CC112" s="45">
        <f t="shared" si="113"/>
        <v>-1.5000000000000003E-2</v>
      </c>
      <c r="CD112" s="45">
        <f t="shared" si="114"/>
        <v>7.4999999999999997E-3</v>
      </c>
      <c r="CE112" s="45">
        <f t="shared" si="115"/>
        <v>-6.0000000000000012E-2</v>
      </c>
      <c r="CF112" s="46">
        <f t="shared" si="116"/>
        <v>-2E-3</v>
      </c>
      <c r="CG112" s="45">
        <f t="shared" si="117"/>
        <v>0.01</v>
      </c>
      <c r="CH112" s="5"/>
      <c r="CI112" s="44">
        <f t="shared" si="118"/>
        <v>10</v>
      </c>
      <c r="CJ112" s="44">
        <f t="shared" si="119"/>
        <v>10.150905377473423</v>
      </c>
      <c r="CK112" s="44">
        <f t="shared" si="120"/>
        <v>24.177888724017556</v>
      </c>
      <c r="CL112" s="44">
        <f t="shared" si="121"/>
        <v>10</v>
      </c>
      <c r="CM112" s="44">
        <f t="shared" si="122"/>
        <v>9.0293680910740797</v>
      </c>
      <c r="CN112" s="47">
        <f t="shared" si="123"/>
        <v>0</v>
      </c>
      <c r="CO112" s="5"/>
      <c r="CP112" s="47">
        <f t="shared" si="124"/>
        <v>2.2481045353583074E-2</v>
      </c>
      <c r="CQ112" s="47">
        <f t="shared" si="125"/>
        <v>1.3179033105067961E-4</v>
      </c>
      <c r="CR112" s="47">
        <f t="shared" si="126"/>
        <v>1.4693266765589468</v>
      </c>
      <c r="CS112" s="47">
        <f t="shared" si="127"/>
        <v>0.40000000000000036</v>
      </c>
      <c r="CT112" s="47">
        <f t="shared" si="128"/>
        <v>1.7293680910740804E-2</v>
      </c>
      <c r="CU112" s="47">
        <f t="shared" si="129"/>
        <v>1.9092331931543218</v>
      </c>
    </row>
    <row r="113" spans="1:99" ht="15" customHeight="1">
      <c r="A113" s="5"/>
      <c r="B113" s="37" t="s">
        <v>124</v>
      </c>
      <c r="C113" s="37" t="s">
        <v>252</v>
      </c>
      <c r="D113" s="37" t="s">
        <v>255</v>
      </c>
      <c r="E113" s="26">
        <v>42551</v>
      </c>
      <c r="F113" s="38">
        <f t="shared" si="109"/>
        <v>77.766031733990332</v>
      </c>
      <c r="G113" s="4">
        <v>27095683</v>
      </c>
      <c r="H113" s="4">
        <v>3520581</v>
      </c>
      <c r="I113" s="4">
        <v>88444745</v>
      </c>
      <c r="J113" s="4">
        <v>38677563</v>
      </c>
      <c r="K113" s="4">
        <v>4881682</v>
      </c>
      <c r="L113" s="4">
        <v>61717086</v>
      </c>
      <c r="M113" s="4">
        <v>846182</v>
      </c>
      <c r="N113" s="4">
        <v>6268779</v>
      </c>
      <c r="O113" s="4">
        <v>2958725</v>
      </c>
      <c r="P113" s="4">
        <f>O113+N113+M113+L113</f>
        <v>71790772</v>
      </c>
      <c r="Q113" s="4">
        <v>72407401</v>
      </c>
      <c r="R113" s="4">
        <f t="shared" si="131"/>
        <v>-616629</v>
      </c>
      <c r="S113" s="27">
        <v>67324863</v>
      </c>
      <c r="T113" s="27">
        <v>67077255</v>
      </c>
      <c r="U113" s="27">
        <v>72235018</v>
      </c>
      <c r="V113" s="27">
        <v>76785639</v>
      </c>
      <c r="W113" s="27">
        <v>588644</v>
      </c>
      <c r="X113" s="27">
        <f>1692638+37000</f>
        <v>1729638</v>
      </c>
      <c r="Y113" s="27">
        <v>12448029</v>
      </c>
      <c r="Z113" s="27">
        <v>7744465</v>
      </c>
      <c r="AA113" s="27">
        <v>27046399</v>
      </c>
      <c r="AB113" s="27">
        <f t="shared" si="133"/>
        <v>48968531</v>
      </c>
      <c r="AC113" s="27">
        <v>7744465</v>
      </c>
      <c r="AD113" s="27">
        <v>0</v>
      </c>
      <c r="AE113" s="27">
        <f>AC113+AD113</f>
        <v>7744465</v>
      </c>
      <c r="AF113" s="27">
        <v>0</v>
      </c>
      <c r="AG113" s="27">
        <v>2510778</v>
      </c>
      <c r="AH113" s="27">
        <v>2463045</v>
      </c>
      <c r="AI113" s="27">
        <v>954354</v>
      </c>
      <c r="AJ113" s="26">
        <v>41821</v>
      </c>
      <c r="AK113" s="39">
        <v>0</v>
      </c>
      <c r="AL113" s="39">
        <v>30453882</v>
      </c>
      <c r="AM113" s="39">
        <v>30453882</v>
      </c>
      <c r="AN113" s="40">
        <f>AK113/AL113</f>
        <v>0</v>
      </c>
      <c r="AO113" s="40">
        <v>0.04</v>
      </c>
      <c r="AP113" s="40">
        <v>7.0999999999999994E-2</v>
      </c>
      <c r="AQ113" s="27">
        <v>1033277</v>
      </c>
      <c r="AR113" s="27">
        <v>1033277</v>
      </c>
      <c r="AS113" s="27">
        <v>13400</v>
      </c>
      <c r="AT113" s="27">
        <v>0</v>
      </c>
      <c r="AU113" s="27">
        <v>0</v>
      </c>
      <c r="AV113" s="27">
        <v>1265994</v>
      </c>
      <c r="AW113" s="27">
        <v>9970631</v>
      </c>
      <c r="AX113" s="27">
        <f t="shared" si="130"/>
        <v>11250025</v>
      </c>
      <c r="AY113" s="27">
        <v>40024</v>
      </c>
      <c r="AZ113" s="27">
        <v>3781612</v>
      </c>
      <c r="BA113" s="27">
        <v>1051609</v>
      </c>
      <c r="BB113" s="27">
        <v>1865781</v>
      </c>
      <c r="BC113" s="27">
        <v>9894121</v>
      </c>
      <c r="BD113" s="27">
        <f t="shared" si="106"/>
        <v>16633147</v>
      </c>
      <c r="BE113" s="29">
        <f t="shared" si="110"/>
        <v>1.4392894395953842E-2</v>
      </c>
      <c r="BF113" s="29">
        <f t="shared" si="111"/>
        <v>0.16771743268265824</v>
      </c>
      <c r="BG113" s="29">
        <f t="shared" si="112"/>
        <v>0.50870747009100281</v>
      </c>
      <c r="BH113" s="42">
        <f>VLOOKUP(B113,Unemployment!$A$2:$F$193,6,0)</f>
        <v>-0.30000000000000027</v>
      </c>
      <c r="BI113" s="29">
        <f>VLOOKUP(B113,Zillow!$C$11:$R$193,16,0)</f>
        <v>2.8821652111526128E-2</v>
      </c>
      <c r="BJ113" s="5"/>
      <c r="BK113" s="6">
        <v>10</v>
      </c>
      <c r="BL113" s="6">
        <v>40</v>
      </c>
      <c r="BM113" s="6">
        <v>30</v>
      </c>
      <c r="BN113" s="6">
        <v>10</v>
      </c>
      <c r="BO113" s="6">
        <v>10</v>
      </c>
      <c r="BP113" s="5"/>
      <c r="BQ113" s="43">
        <v>0.2</v>
      </c>
      <c r="BR113" s="43">
        <v>0.02</v>
      </c>
      <c r="BS113" s="43">
        <v>2.2000000000000002</v>
      </c>
      <c r="BT113" s="44">
        <v>0.02</v>
      </c>
      <c r="BU113" s="43">
        <v>-7.0000000000000007E-2</v>
      </c>
      <c r="BV113" s="5"/>
      <c r="BW113" s="43">
        <v>0.05</v>
      </c>
      <c r="BX113" s="43">
        <v>0.32</v>
      </c>
      <c r="BY113" s="43">
        <v>0.4</v>
      </c>
      <c r="BZ113" s="44">
        <v>0</v>
      </c>
      <c r="CA113" s="43">
        <v>0.03</v>
      </c>
      <c r="CB113" s="5"/>
      <c r="CC113" s="45">
        <f t="shared" si="113"/>
        <v>-1.5000000000000003E-2</v>
      </c>
      <c r="CD113" s="45">
        <f t="shared" si="114"/>
        <v>7.4999999999999997E-3</v>
      </c>
      <c r="CE113" s="45">
        <f t="shared" si="115"/>
        <v>-6.0000000000000012E-2</v>
      </c>
      <c r="CF113" s="46">
        <f t="shared" si="116"/>
        <v>-2E-3</v>
      </c>
      <c r="CG113" s="45">
        <f t="shared" si="117"/>
        <v>0.01</v>
      </c>
      <c r="CH113" s="5"/>
      <c r="CI113" s="44">
        <f t="shared" si="118"/>
        <v>10</v>
      </c>
      <c r="CJ113" s="44">
        <f t="shared" si="119"/>
        <v>19.695657691021101</v>
      </c>
      <c r="CK113" s="44">
        <f t="shared" si="120"/>
        <v>28.188208831816617</v>
      </c>
      <c r="CL113" s="44">
        <f t="shared" si="121"/>
        <v>10</v>
      </c>
      <c r="CM113" s="44">
        <f t="shared" si="122"/>
        <v>9.8821652111526124</v>
      </c>
      <c r="CN113" s="47">
        <f t="shared" si="123"/>
        <v>0</v>
      </c>
      <c r="CO113" s="5"/>
      <c r="CP113" s="47">
        <f t="shared" si="124"/>
        <v>2.1892894395953846E-2</v>
      </c>
      <c r="CQ113" s="47">
        <f t="shared" si="125"/>
        <v>7.1717432682658247E-2</v>
      </c>
      <c r="CR113" s="47">
        <f t="shared" si="126"/>
        <v>1.228707470091003</v>
      </c>
      <c r="CS113" s="47">
        <f t="shared" si="127"/>
        <v>0.30000000000000027</v>
      </c>
      <c r="CT113" s="47">
        <f t="shared" si="128"/>
        <v>2.5821652111526129E-2</v>
      </c>
      <c r="CU113" s="47">
        <f t="shared" si="129"/>
        <v>1.6481394492811416</v>
      </c>
    </row>
    <row r="114" spans="1:99" ht="15" customHeight="1">
      <c r="A114" s="5"/>
      <c r="B114" s="37" t="s">
        <v>157</v>
      </c>
      <c r="C114" s="37" t="s">
        <v>252</v>
      </c>
      <c r="D114" s="37" t="s">
        <v>255</v>
      </c>
      <c r="E114" s="26">
        <v>42551</v>
      </c>
      <c r="F114" s="38">
        <f t="shared" si="109"/>
        <v>88.425982209581576</v>
      </c>
      <c r="G114" s="4">
        <v>22198016</v>
      </c>
      <c r="H114" s="4">
        <f>40813354-27092884</f>
        <v>13720470</v>
      </c>
      <c r="I114" s="4">
        <v>116730449</v>
      </c>
      <c r="J114" s="4">
        <v>75668975</v>
      </c>
      <c r="K114" s="4">
        <v>9552266</v>
      </c>
      <c r="L114" s="4">
        <v>43740939</v>
      </c>
      <c r="M114" s="4">
        <v>0</v>
      </c>
      <c r="N114" s="4">
        <v>2306463</v>
      </c>
      <c r="O114" s="4">
        <v>10006368</v>
      </c>
      <c r="P114" s="4">
        <f>O114+N114+M114+L114</f>
        <v>56053770</v>
      </c>
      <c r="Q114" s="4">
        <v>49312192</v>
      </c>
      <c r="R114" s="4">
        <f t="shared" si="131"/>
        <v>6741578</v>
      </c>
      <c r="S114" s="27">
        <v>49171149</v>
      </c>
      <c r="T114" s="27">
        <v>47346449</v>
      </c>
      <c r="U114" s="27">
        <v>52379502</v>
      </c>
      <c r="V114" s="27">
        <v>51548924</v>
      </c>
      <c r="W114" s="27">
        <v>6234960</v>
      </c>
      <c r="X114" s="27">
        <v>2111002</v>
      </c>
      <c r="Y114" s="27">
        <v>3901617</v>
      </c>
      <c r="Z114" s="27">
        <v>670000</v>
      </c>
      <c r="AA114" s="27">
        <v>20410265</v>
      </c>
      <c r="AB114" s="27">
        <f t="shared" si="133"/>
        <v>27092884</v>
      </c>
      <c r="AC114" s="27">
        <v>670000</v>
      </c>
      <c r="AD114" s="27">
        <v>0</v>
      </c>
      <c r="AE114" s="27">
        <f>AC114+AD114</f>
        <v>670000</v>
      </c>
      <c r="AF114" s="27">
        <v>0</v>
      </c>
      <c r="AG114" s="27">
        <v>140000</v>
      </c>
      <c r="AH114" s="27">
        <v>130000</v>
      </c>
      <c r="AI114" s="27">
        <v>60000</v>
      </c>
      <c r="AJ114" s="26">
        <v>42186</v>
      </c>
      <c r="AK114" s="39">
        <v>0</v>
      </c>
      <c r="AL114" s="39">
        <v>1290000</v>
      </c>
      <c r="AM114" s="39">
        <v>1290000</v>
      </c>
      <c r="AN114" s="40">
        <f>AK114/AL114</f>
        <v>0</v>
      </c>
      <c r="AO114" s="40">
        <v>4.4999999999999998E-2</v>
      </c>
      <c r="AP114" s="40">
        <v>0.03</v>
      </c>
      <c r="AQ114" s="27">
        <f>685667+88859</f>
        <v>774526</v>
      </c>
      <c r="AR114" s="27">
        <f>-(685667+88859)</f>
        <v>-774526</v>
      </c>
      <c r="AS114" s="27">
        <v>4032</v>
      </c>
      <c r="AT114" s="27">
        <v>0</v>
      </c>
      <c r="AU114" s="27">
        <v>0</v>
      </c>
      <c r="AV114" s="27">
        <v>1221677</v>
      </c>
      <c r="AW114" s="27">
        <v>11106427</v>
      </c>
      <c r="AX114" s="27">
        <f t="shared" si="130"/>
        <v>12332136</v>
      </c>
      <c r="AY114" s="27">
        <v>13139</v>
      </c>
      <c r="AZ114" s="27">
        <v>922119</v>
      </c>
      <c r="BA114" s="27">
        <f>995263+4842</f>
        <v>1000105</v>
      </c>
      <c r="BB114" s="27">
        <v>1221677</v>
      </c>
      <c r="BC114" s="27">
        <v>5029458</v>
      </c>
      <c r="BD114" s="27">
        <f t="shared" si="106"/>
        <v>8186498</v>
      </c>
      <c r="BE114" s="29">
        <f t="shared" si="110"/>
        <v>1.3817554109206215E-2</v>
      </c>
      <c r="BF114" s="29">
        <f t="shared" si="111"/>
        <v>0.26046591160405713</v>
      </c>
      <c r="BG114" s="29">
        <f t="shared" si="112"/>
        <v>0.41373251076600198</v>
      </c>
      <c r="BH114" s="42">
        <f>VLOOKUP(B114,Unemployment!$A$2:$F$193,6,0)</f>
        <v>-0.59999999999999964</v>
      </c>
      <c r="BI114" s="29">
        <f>VLOOKUP(B114,Zillow!$C$11:$R$193,16,0)</f>
        <v>-4.0726415819266918E-3</v>
      </c>
      <c r="BJ114" s="5"/>
      <c r="BK114" s="6">
        <v>10</v>
      </c>
      <c r="BL114" s="6">
        <v>40</v>
      </c>
      <c r="BM114" s="6">
        <v>30</v>
      </c>
      <c r="BN114" s="6">
        <v>10</v>
      </c>
      <c r="BO114" s="6">
        <v>10</v>
      </c>
      <c r="BP114" s="5"/>
      <c r="BQ114" s="43">
        <v>0.2</v>
      </c>
      <c r="BR114" s="43">
        <v>0.02</v>
      </c>
      <c r="BS114" s="43">
        <v>2.2000000000000002</v>
      </c>
      <c r="BT114" s="44">
        <v>0.02</v>
      </c>
      <c r="BU114" s="43">
        <v>-7.0000000000000007E-2</v>
      </c>
      <c r="BV114" s="5"/>
      <c r="BW114" s="43">
        <v>0.05</v>
      </c>
      <c r="BX114" s="43">
        <v>0.32</v>
      </c>
      <c r="BY114" s="43">
        <v>0.4</v>
      </c>
      <c r="BZ114" s="44">
        <v>0</v>
      </c>
      <c r="CA114" s="43">
        <v>0.03</v>
      </c>
      <c r="CB114" s="5"/>
      <c r="CC114" s="45">
        <f t="shared" si="113"/>
        <v>-1.5000000000000003E-2</v>
      </c>
      <c r="CD114" s="45">
        <f t="shared" si="114"/>
        <v>7.4999999999999997E-3</v>
      </c>
      <c r="CE114" s="45">
        <f t="shared" si="115"/>
        <v>-6.0000000000000012E-2</v>
      </c>
      <c r="CF114" s="46">
        <f t="shared" si="116"/>
        <v>-2E-3</v>
      </c>
      <c r="CG114" s="45">
        <f t="shared" si="117"/>
        <v>0.01</v>
      </c>
      <c r="CH114" s="5"/>
      <c r="CI114" s="44">
        <f t="shared" si="118"/>
        <v>10</v>
      </c>
      <c r="CJ114" s="44">
        <f t="shared" si="119"/>
        <v>32.062121547207617</v>
      </c>
      <c r="CK114" s="44">
        <f t="shared" si="120"/>
        <v>29.77112482056663</v>
      </c>
      <c r="CL114" s="44">
        <f t="shared" si="121"/>
        <v>10</v>
      </c>
      <c r="CM114" s="44">
        <f t="shared" si="122"/>
        <v>6.5927358418073316</v>
      </c>
      <c r="CN114" s="47">
        <f t="shared" si="123"/>
        <v>0</v>
      </c>
      <c r="CO114" s="5"/>
      <c r="CP114" s="47">
        <f t="shared" si="124"/>
        <v>2.1317554109206216E-2</v>
      </c>
      <c r="CQ114" s="47">
        <f t="shared" si="125"/>
        <v>0.16446591160405716</v>
      </c>
      <c r="CR114" s="47">
        <f t="shared" si="126"/>
        <v>1.1337325107660021</v>
      </c>
      <c r="CS114" s="47">
        <f t="shared" si="127"/>
        <v>0.59999999999999964</v>
      </c>
      <c r="CT114" s="47">
        <f t="shared" si="128"/>
        <v>7.0726415819266919E-3</v>
      </c>
      <c r="CU114" s="47">
        <f t="shared" si="129"/>
        <v>1.9265886180611917</v>
      </c>
    </row>
    <row r="115" spans="1:99" ht="15" customHeight="1">
      <c r="A115" s="5"/>
      <c r="B115" s="37" t="s">
        <v>129</v>
      </c>
      <c r="C115" s="37" t="s">
        <v>252</v>
      </c>
      <c r="D115" s="37" t="s">
        <v>255</v>
      </c>
      <c r="E115" s="26">
        <v>42551</v>
      </c>
      <c r="F115" s="38">
        <f t="shared" si="109"/>
        <v>78.806722920716254</v>
      </c>
      <c r="G115" s="4">
        <v>19360304</v>
      </c>
      <c r="H115" s="4">
        <v>5235801</v>
      </c>
      <c r="I115" s="4">
        <v>102478852</v>
      </c>
      <c r="J115" s="4">
        <v>69598485</v>
      </c>
      <c r="K115" s="4">
        <v>995824</v>
      </c>
      <c r="L115" s="4">
        <v>26699047</v>
      </c>
      <c r="M115" s="4">
        <v>1375429</v>
      </c>
      <c r="N115" s="4">
        <v>5945110</v>
      </c>
      <c r="O115" s="4">
        <v>22377317</v>
      </c>
      <c r="P115" s="4">
        <f>O115+N115+M115+L115</f>
        <v>56396903</v>
      </c>
      <c r="Q115" s="4">
        <v>55364149</v>
      </c>
      <c r="R115" s="4">
        <f t="shared" si="131"/>
        <v>1032754</v>
      </c>
      <c r="S115" s="27">
        <v>50690564</v>
      </c>
      <c r="T115" s="27">
        <v>50395621</v>
      </c>
      <c r="U115" s="27">
        <v>54448649</v>
      </c>
      <c r="V115" s="27">
        <v>55021980</v>
      </c>
      <c r="W115" s="27">
        <v>638360</v>
      </c>
      <c r="X115" s="27">
        <v>406815</v>
      </c>
      <c r="Y115" s="27">
        <v>5471858</v>
      </c>
      <c r="Z115" s="27">
        <v>5259621</v>
      </c>
      <c r="AA115" s="27">
        <v>18685116</v>
      </c>
      <c r="AB115" s="27">
        <f t="shared" si="133"/>
        <v>29823410</v>
      </c>
      <c r="AC115" s="27">
        <v>5259621</v>
      </c>
      <c r="AD115" s="27">
        <v>0</v>
      </c>
      <c r="AE115" s="27">
        <f>AC115+AD115</f>
        <v>5259621</v>
      </c>
      <c r="AF115" s="27">
        <v>0</v>
      </c>
      <c r="AG115" s="27">
        <v>1092600</v>
      </c>
      <c r="AH115" s="27">
        <v>1020219</v>
      </c>
      <c r="AI115" s="27">
        <v>395242</v>
      </c>
      <c r="AJ115" s="26">
        <v>41821</v>
      </c>
      <c r="AK115" s="39">
        <v>0</v>
      </c>
      <c r="AL115" s="39">
        <v>14122809</v>
      </c>
      <c r="AM115" s="39">
        <v>14122809</v>
      </c>
      <c r="AN115" s="40">
        <f>AK115/AL115</f>
        <v>0</v>
      </c>
      <c r="AO115" s="40">
        <v>0.04</v>
      </c>
      <c r="AP115" s="40">
        <v>0.04</v>
      </c>
      <c r="AQ115" s="27">
        <v>1472606</v>
      </c>
      <c r="AR115" s="27">
        <v>1125405</v>
      </c>
      <c r="AS115" s="27">
        <v>4666</v>
      </c>
      <c r="AT115" s="27">
        <f>4447+3300</f>
        <v>7747</v>
      </c>
      <c r="AU115" s="27">
        <v>0</v>
      </c>
      <c r="AV115" s="27">
        <f t="shared" ref="AV115:BB115" si="134">700000+300000+100000+800000+200000</f>
        <v>2100000</v>
      </c>
      <c r="AW115" s="27">
        <v>6355407</v>
      </c>
      <c r="AX115" s="27">
        <f t="shared" si="130"/>
        <v>8467820</v>
      </c>
      <c r="AY115" s="27">
        <v>37102</v>
      </c>
      <c r="AZ115" s="27">
        <f>4447+3300+349941</f>
        <v>357688</v>
      </c>
      <c r="BA115" s="27">
        <f>871485+10638+92975+18412</f>
        <v>993510</v>
      </c>
      <c r="BB115" s="27">
        <f t="shared" si="134"/>
        <v>2100000</v>
      </c>
      <c r="BC115" s="27">
        <v>5388410</v>
      </c>
      <c r="BD115" s="27">
        <f t="shared" si="106"/>
        <v>8876710</v>
      </c>
      <c r="BE115" s="29">
        <f t="shared" si="110"/>
        <v>2.6111469276956574E-2</v>
      </c>
      <c r="BF115" s="29">
        <f t="shared" si="111"/>
        <v>0.16802690059122399</v>
      </c>
      <c r="BG115" s="29">
        <f t="shared" si="112"/>
        <v>0.43178881648873518</v>
      </c>
      <c r="BH115" s="42">
        <f>VLOOKUP(B115,Unemployment!$A$2:$F$193,6,0)</f>
        <v>-1.2000000000000002</v>
      </c>
      <c r="BI115" s="29">
        <f>VLOOKUP(B115,Zillow!$C$11:$R$193,16,0)</f>
        <v>2.5996164500319753E-2</v>
      </c>
      <c r="BJ115" s="5"/>
      <c r="BK115" s="6">
        <v>10</v>
      </c>
      <c r="BL115" s="6">
        <v>40</v>
      </c>
      <c r="BM115" s="6">
        <v>30</v>
      </c>
      <c r="BN115" s="6">
        <v>10</v>
      </c>
      <c r="BO115" s="6">
        <v>10</v>
      </c>
      <c r="BP115" s="5"/>
      <c r="BQ115" s="43">
        <v>0.2</v>
      </c>
      <c r="BR115" s="43">
        <v>0.02</v>
      </c>
      <c r="BS115" s="43">
        <v>2.2000000000000002</v>
      </c>
      <c r="BT115" s="44">
        <v>0.02</v>
      </c>
      <c r="BU115" s="43">
        <v>-7.0000000000000007E-2</v>
      </c>
      <c r="BV115" s="5"/>
      <c r="BW115" s="43">
        <v>0.05</v>
      </c>
      <c r="BX115" s="43">
        <v>0.32</v>
      </c>
      <c r="BY115" s="43">
        <v>0.4</v>
      </c>
      <c r="BZ115" s="44">
        <v>0</v>
      </c>
      <c r="CA115" s="43">
        <v>0.03</v>
      </c>
      <c r="CB115" s="5"/>
      <c r="CC115" s="45">
        <f t="shared" si="113"/>
        <v>-1.5000000000000003E-2</v>
      </c>
      <c r="CD115" s="45">
        <f t="shared" si="114"/>
        <v>7.4999999999999997E-3</v>
      </c>
      <c r="CE115" s="45">
        <f t="shared" si="115"/>
        <v>-6.0000000000000012E-2</v>
      </c>
      <c r="CF115" s="46">
        <f t="shared" si="116"/>
        <v>-2E-3</v>
      </c>
      <c r="CG115" s="45">
        <f t="shared" si="117"/>
        <v>0.01</v>
      </c>
      <c r="CH115" s="5"/>
      <c r="CI115" s="44">
        <f t="shared" si="118"/>
        <v>10</v>
      </c>
      <c r="CJ115" s="44">
        <f t="shared" si="119"/>
        <v>19.736920078829868</v>
      </c>
      <c r="CK115" s="44">
        <f t="shared" si="120"/>
        <v>29.470186391854412</v>
      </c>
      <c r="CL115" s="44">
        <f t="shared" si="121"/>
        <v>10</v>
      </c>
      <c r="CM115" s="44">
        <f t="shared" si="122"/>
        <v>9.5996164500319754</v>
      </c>
      <c r="CN115" s="47">
        <f t="shared" si="123"/>
        <v>0</v>
      </c>
      <c r="CO115" s="5"/>
      <c r="CP115" s="47">
        <f t="shared" si="124"/>
        <v>3.3611469276956574E-2</v>
      </c>
      <c r="CQ115" s="47">
        <f t="shared" si="125"/>
        <v>7.2026900591224005E-2</v>
      </c>
      <c r="CR115" s="47">
        <f t="shared" si="126"/>
        <v>1.1517888164887353</v>
      </c>
      <c r="CS115" s="47">
        <f t="shared" si="127"/>
        <v>1.2000000000000002</v>
      </c>
      <c r="CT115" s="47">
        <f t="shared" si="128"/>
        <v>2.2996164500319754E-2</v>
      </c>
      <c r="CU115" s="47">
        <f t="shared" si="129"/>
        <v>2.4804233508572358</v>
      </c>
    </row>
    <row r="116" spans="1:99" ht="15" customHeight="1">
      <c r="A116" s="5"/>
      <c r="B116" s="37" t="s">
        <v>79</v>
      </c>
      <c r="C116" s="37" t="s">
        <v>252</v>
      </c>
      <c r="D116" s="37" t="s">
        <v>255</v>
      </c>
      <c r="E116" s="26">
        <v>42551</v>
      </c>
      <c r="F116" s="38">
        <f t="shared" si="109"/>
        <v>72.236528671507017</v>
      </c>
      <c r="G116" s="4">
        <v>29530651</v>
      </c>
      <c r="H116" s="4">
        <v>71288267</v>
      </c>
      <c r="I116" s="4">
        <v>165933960</v>
      </c>
      <c r="J116" s="4">
        <v>97549725</v>
      </c>
      <c r="K116" s="4">
        <v>6154118</v>
      </c>
      <c r="L116" s="4">
        <v>46098702</v>
      </c>
      <c r="M116" s="4">
        <v>2014461</v>
      </c>
      <c r="N116" s="4">
        <v>5093881</v>
      </c>
      <c r="O116" s="4">
        <v>22575898</v>
      </c>
      <c r="P116" s="4">
        <f>O116+N116+M116+L116</f>
        <v>75782942</v>
      </c>
      <c r="Q116" s="4">
        <v>73904281</v>
      </c>
      <c r="R116" s="4">
        <f t="shared" si="131"/>
        <v>1878661</v>
      </c>
      <c r="S116" s="27">
        <v>61995041</v>
      </c>
      <c r="T116" s="27">
        <v>59428830</v>
      </c>
      <c r="U116" s="27">
        <v>75806549</v>
      </c>
      <c r="V116" s="27">
        <v>76066366</v>
      </c>
      <c r="W116" s="27">
        <v>-147712</v>
      </c>
      <c r="X116" s="27">
        <v>5739219</v>
      </c>
      <c r="Y116" s="27">
        <v>6726776</v>
      </c>
      <c r="Z116" s="27">
        <v>10827403</v>
      </c>
      <c r="AA116" s="27">
        <v>42164522</v>
      </c>
      <c r="AB116" s="27">
        <f t="shared" si="133"/>
        <v>65457920</v>
      </c>
      <c r="AC116" s="27">
        <v>10827403</v>
      </c>
      <c r="AD116" s="27">
        <v>0</v>
      </c>
      <c r="AE116" s="27">
        <f>AC116+AD116</f>
        <v>10827403</v>
      </c>
      <c r="AF116" s="27">
        <v>0</v>
      </c>
      <c r="AG116" s="27">
        <v>1277963</v>
      </c>
      <c r="AH116" s="27">
        <v>1124788</v>
      </c>
      <c r="AI116" s="27">
        <v>105387</v>
      </c>
      <c r="AJ116" s="26">
        <v>41821</v>
      </c>
      <c r="AK116" s="39">
        <v>0</v>
      </c>
      <c r="AL116" s="39">
        <v>12117589</v>
      </c>
      <c r="AM116" s="39">
        <v>12117589</v>
      </c>
      <c r="AN116" s="40">
        <f>AK116/AL116</f>
        <v>0</v>
      </c>
      <c r="AO116" s="40">
        <v>0.04</v>
      </c>
      <c r="AP116" s="40">
        <v>0.03</v>
      </c>
      <c r="AQ116" s="27">
        <v>874736</v>
      </c>
      <c r="AR116" s="27">
        <v>874736</v>
      </c>
      <c r="AS116" s="27">
        <v>48562</v>
      </c>
      <c r="AT116" s="27">
        <v>0</v>
      </c>
      <c r="AU116" s="27">
        <v>198387</v>
      </c>
      <c r="AV116" s="27">
        <v>1173970</v>
      </c>
      <c r="AW116" s="27">
        <v>9487712</v>
      </c>
      <c r="AX116" s="27">
        <f t="shared" si="130"/>
        <v>10908631</v>
      </c>
      <c r="AY116" s="27">
        <v>153770</v>
      </c>
      <c r="AZ116" s="27">
        <v>3033709</v>
      </c>
      <c r="BA116" s="27">
        <v>6220462</v>
      </c>
      <c r="BB116" s="27">
        <v>1173970</v>
      </c>
      <c r="BC116" s="27">
        <v>8024301</v>
      </c>
      <c r="BD116" s="27">
        <f t="shared" si="106"/>
        <v>18606212</v>
      </c>
      <c r="BE116" s="29">
        <f t="shared" si="110"/>
        <v>1.1542650323604487E-2</v>
      </c>
      <c r="BF116" s="29">
        <f t="shared" si="111"/>
        <v>0.18355789605819264</v>
      </c>
      <c r="BG116" s="29">
        <f t="shared" si="112"/>
        <v>0.7749916069502818</v>
      </c>
      <c r="BH116" s="42">
        <f>VLOOKUP(B116,Unemployment!$A$2:$F$193,6,0)</f>
        <v>-0.5</v>
      </c>
      <c r="BI116" s="29">
        <f>VLOOKUP(B116,Zillow!$C$11:$R$193,16,0)</f>
        <v>-3.2133068708062721E-3</v>
      </c>
      <c r="BJ116" s="5"/>
      <c r="BK116" s="6">
        <v>10</v>
      </c>
      <c r="BL116" s="6">
        <v>40</v>
      </c>
      <c r="BM116" s="6">
        <v>30</v>
      </c>
      <c r="BN116" s="6">
        <v>10</v>
      </c>
      <c r="BO116" s="6">
        <v>10</v>
      </c>
      <c r="BP116" s="5"/>
      <c r="BQ116" s="43">
        <v>0.2</v>
      </c>
      <c r="BR116" s="43">
        <v>0.02</v>
      </c>
      <c r="BS116" s="43">
        <v>2.2000000000000002</v>
      </c>
      <c r="BT116" s="44">
        <v>0.02</v>
      </c>
      <c r="BU116" s="43">
        <v>-7.0000000000000007E-2</v>
      </c>
      <c r="BV116" s="5"/>
      <c r="BW116" s="43">
        <v>0.05</v>
      </c>
      <c r="BX116" s="43">
        <v>0.32</v>
      </c>
      <c r="BY116" s="43">
        <v>0.4</v>
      </c>
      <c r="BZ116" s="44">
        <v>0</v>
      </c>
      <c r="CA116" s="43">
        <v>0.03</v>
      </c>
      <c r="CB116" s="5"/>
      <c r="CC116" s="45">
        <f t="shared" si="113"/>
        <v>-1.5000000000000003E-2</v>
      </c>
      <c r="CD116" s="45">
        <f t="shared" si="114"/>
        <v>7.4999999999999997E-3</v>
      </c>
      <c r="CE116" s="45">
        <f t="shared" si="115"/>
        <v>-6.0000000000000012E-2</v>
      </c>
      <c r="CF116" s="46">
        <f t="shared" si="116"/>
        <v>-2E-3</v>
      </c>
      <c r="CG116" s="45">
        <f t="shared" si="117"/>
        <v>0.01</v>
      </c>
      <c r="CH116" s="5"/>
      <c r="CI116" s="44">
        <f t="shared" si="118"/>
        <v>10</v>
      </c>
      <c r="CJ116" s="44">
        <f t="shared" si="119"/>
        <v>21.807719474425689</v>
      </c>
      <c r="CK116" s="44">
        <f t="shared" si="120"/>
        <v>23.750139884161968</v>
      </c>
      <c r="CL116" s="44">
        <f t="shared" si="121"/>
        <v>10</v>
      </c>
      <c r="CM116" s="44">
        <f t="shared" si="122"/>
        <v>6.6786693129193733</v>
      </c>
      <c r="CN116" s="47">
        <f t="shared" si="123"/>
        <v>0</v>
      </c>
      <c r="CO116" s="5"/>
      <c r="CP116" s="47">
        <f t="shared" si="124"/>
        <v>1.9042650323604488E-2</v>
      </c>
      <c r="CQ116" s="47">
        <f t="shared" si="125"/>
        <v>8.7557896058192655E-2</v>
      </c>
      <c r="CR116" s="47">
        <f t="shared" si="126"/>
        <v>1.494991606950282</v>
      </c>
      <c r="CS116" s="47">
        <f t="shared" si="127"/>
        <v>0.5</v>
      </c>
      <c r="CT116" s="47">
        <f t="shared" si="128"/>
        <v>6.2133068708062717E-3</v>
      </c>
      <c r="CU116" s="47">
        <f t="shared" si="129"/>
        <v>2.1078054602028855</v>
      </c>
    </row>
    <row r="117" spans="1:99" ht="15" customHeight="1">
      <c r="A117" s="5"/>
      <c r="B117" s="37" t="s">
        <v>299</v>
      </c>
      <c r="C117" s="133" t="s">
        <v>257</v>
      </c>
      <c r="D117" s="134"/>
      <c r="E117" s="132"/>
      <c r="F117" s="132"/>
      <c r="G117" s="4"/>
      <c r="H117" s="4"/>
      <c r="I117" s="4"/>
      <c r="J117" s="4"/>
      <c r="K117" s="4"/>
      <c r="L117" s="4"/>
      <c r="M117" s="4"/>
      <c r="N117" s="4"/>
      <c r="O117" s="4"/>
      <c r="P117" s="4"/>
      <c r="Q117" s="4"/>
      <c r="R117" s="4"/>
      <c r="S117" s="27"/>
      <c r="T117" s="27"/>
      <c r="U117" s="27"/>
      <c r="V117" s="27"/>
      <c r="W117" s="27"/>
      <c r="X117" s="27"/>
      <c r="Y117" s="27"/>
      <c r="Z117" s="27"/>
      <c r="AA117" s="27"/>
      <c r="AB117" s="27"/>
      <c r="AC117" s="27"/>
      <c r="AD117" s="27"/>
      <c r="AE117" s="27"/>
      <c r="AF117" s="27"/>
      <c r="AG117" s="27"/>
      <c r="AH117" s="27"/>
      <c r="AI117" s="27"/>
      <c r="AJ117" s="26"/>
      <c r="AK117" s="39"/>
      <c r="AL117" s="39"/>
      <c r="AM117" s="39"/>
      <c r="AN117" s="40"/>
      <c r="AO117" s="40"/>
      <c r="AP117" s="40"/>
      <c r="AQ117" s="27"/>
      <c r="AR117" s="27"/>
      <c r="AS117" s="27"/>
      <c r="AT117" s="27"/>
      <c r="AU117" s="27"/>
      <c r="AV117" s="27"/>
      <c r="AW117" s="27"/>
      <c r="AX117" s="27"/>
      <c r="AY117" s="27"/>
      <c r="AZ117" s="27"/>
      <c r="BA117" s="27"/>
      <c r="BB117" s="27"/>
      <c r="BC117" s="27"/>
      <c r="BD117" s="27"/>
      <c r="BE117" s="29"/>
      <c r="BF117" s="29"/>
      <c r="BG117" s="29"/>
      <c r="BH117" s="20"/>
      <c r="BI117" s="29"/>
      <c r="BJ117" s="5"/>
      <c r="BK117" s="5"/>
      <c r="BL117" s="5"/>
      <c r="BM117" s="5"/>
      <c r="BN117" s="5"/>
      <c r="BO117" s="5"/>
      <c r="BP117" s="5"/>
      <c r="BQ117" s="43"/>
      <c r="BR117" s="43"/>
      <c r="BS117" s="43"/>
      <c r="BT117" s="44"/>
      <c r="BU117" s="43"/>
      <c r="BV117" s="5"/>
      <c r="BW117" s="43"/>
      <c r="BX117" s="43"/>
      <c r="BY117" s="43"/>
      <c r="BZ117" s="44"/>
      <c r="CA117" s="43"/>
      <c r="CB117" s="5"/>
      <c r="CC117" s="45"/>
      <c r="CD117" s="45"/>
      <c r="CE117" s="45"/>
      <c r="CF117" s="46"/>
      <c r="CG117" s="45"/>
      <c r="CH117" s="5"/>
      <c r="CI117" s="44"/>
      <c r="CJ117" s="44"/>
      <c r="CK117" s="44"/>
      <c r="CL117" s="44"/>
      <c r="CM117" s="44"/>
      <c r="CN117" s="47"/>
      <c r="CO117" s="5"/>
      <c r="CP117" s="47"/>
      <c r="CQ117" s="47"/>
      <c r="CR117" s="47"/>
      <c r="CS117" s="47"/>
      <c r="CT117" s="47"/>
      <c r="CU117" s="47"/>
    </row>
    <row r="118" spans="1:99" ht="15" customHeight="1">
      <c r="A118" s="5"/>
      <c r="B118" s="37" t="s">
        <v>97</v>
      </c>
      <c r="C118" s="37" t="s">
        <v>252</v>
      </c>
      <c r="D118" s="37" t="s">
        <v>255</v>
      </c>
      <c r="E118" s="26">
        <v>42551</v>
      </c>
      <c r="F118" s="38">
        <f t="shared" ref="F118:F149" si="135">SUM(CI118:CN118)</f>
        <v>74.852016005697095</v>
      </c>
      <c r="G118" s="4">
        <f>24871930-6454435-9774219</f>
        <v>8643276</v>
      </c>
      <c r="H118" s="4">
        <f>10201095-3692232-5818204</f>
        <v>690659</v>
      </c>
      <c r="I118" s="4">
        <v>24871930</v>
      </c>
      <c r="J118" s="4">
        <v>14670835</v>
      </c>
      <c r="K118" s="4">
        <v>4921409</v>
      </c>
      <c r="L118" s="4">
        <f>8918968+180797+47657+84438-208374</f>
        <v>9023486</v>
      </c>
      <c r="M118" s="4">
        <v>132463</v>
      </c>
      <c r="N118" s="4">
        <v>272153</v>
      </c>
      <c r="O118" s="4">
        <v>4583545</v>
      </c>
      <c r="P118" s="4">
        <f>SUM(L118:O118)</f>
        <v>14011647</v>
      </c>
      <c r="Q118" s="4">
        <v>13835736</v>
      </c>
      <c r="R118" s="4">
        <f>P118-Q118</f>
        <v>175911</v>
      </c>
      <c r="S118" s="27">
        <v>13344694</v>
      </c>
      <c r="T118" s="27">
        <v>12704893</v>
      </c>
      <c r="U118" s="27">
        <v>14255218</v>
      </c>
      <c r="V118" s="27">
        <v>14226604</v>
      </c>
      <c r="W118" s="27">
        <v>283920</v>
      </c>
      <c r="X118" s="27">
        <v>3692232</v>
      </c>
      <c r="Y118" s="27">
        <v>0</v>
      </c>
      <c r="Z118" s="27">
        <v>1714751</v>
      </c>
      <c r="AA118" s="27">
        <f>9510436-X118-Z118</f>
        <v>4103453</v>
      </c>
      <c r="AB118" s="27">
        <f>X118+Y118+Z118+AA118</f>
        <v>9510436</v>
      </c>
      <c r="AC118" s="27">
        <v>1714751</v>
      </c>
      <c r="AD118" s="27">
        <v>0</v>
      </c>
      <c r="AE118" s="27">
        <f t="shared" ref="AE118:AE127" si="136">AC118+AD118</f>
        <v>1714751</v>
      </c>
      <c r="AF118" s="27">
        <v>0</v>
      </c>
      <c r="AG118" s="27">
        <v>308715</v>
      </c>
      <c r="AH118" s="27">
        <v>306640</v>
      </c>
      <c r="AI118" s="27">
        <v>42328</v>
      </c>
      <c r="AJ118" s="26">
        <v>42551</v>
      </c>
      <c r="AK118" s="51">
        <v>0</v>
      </c>
      <c r="AL118" s="51">
        <v>3422352</v>
      </c>
      <c r="AM118" s="39">
        <f>AL118-AK118</f>
        <v>3422352</v>
      </c>
      <c r="AN118" s="40">
        <f t="shared" ref="AN118:AN126" si="137">AK118/AL118</f>
        <v>0</v>
      </c>
      <c r="AO118" s="40">
        <v>3.5000000000000003E-2</v>
      </c>
      <c r="AP118" s="50" t="s">
        <v>300</v>
      </c>
      <c r="AQ118" s="27">
        <v>0</v>
      </c>
      <c r="AR118" s="27">
        <v>0</v>
      </c>
      <c r="AS118" s="27">
        <v>0</v>
      </c>
      <c r="AT118" s="27">
        <v>0</v>
      </c>
      <c r="AU118" s="27">
        <v>0</v>
      </c>
      <c r="AV118" s="27">
        <v>338550</v>
      </c>
      <c r="AW118" s="27">
        <v>1773437</v>
      </c>
      <c r="AX118" s="27">
        <f t="shared" ref="AX118:AX139" si="138">AS118+AT118+AU118+AV118+AW118</f>
        <v>2111987</v>
      </c>
      <c r="AY118" s="27">
        <v>158639</v>
      </c>
      <c r="AZ118" s="27">
        <v>733133</v>
      </c>
      <c r="BA118" s="27">
        <v>4857016</v>
      </c>
      <c r="BB118" s="27">
        <v>420267</v>
      </c>
      <c r="BC118" s="27">
        <v>1775435</v>
      </c>
      <c r="BD118" s="27">
        <f t="shared" ref="BD118:BD139" si="139">AY118+AZ118+BA118+BB118+BC118</f>
        <v>7944490</v>
      </c>
      <c r="BE118" s="29">
        <f t="shared" ref="BE118:BE149" si="140">AQ118/P118</f>
        <v>0</v>
      </c>
      <c r="BF118" s="29">
        <f t="shared" ref="BF118:BF149" si="141">AX118/T118</f>
        <v>0.16623414301875664</v>
      </c>
      <c r="BG118" s="29">
        <f t="shared" ref="BG118:BG149" si="142">(AB118-Y118)/P118</f>
        <v>0.67875218380822755</v>
      </c>
      <c r="BH118" s="42">
        <f>VLOOKUP(B118,Unemployment!$A$2:$F$193,6,0)</f>
        <v>-0.80000000000000027</v>
      </c>
      <c r="BI118" s="52">
        <f>VLOOKUP(VLOOKUP(B118,Counties!$A$20:$E$189,2,0),Zillow!$C$3:$R$10,16,0)</f>
        <v>3.6528572814592028E-2</v>
      </c>
      <c r="BJ118" s="5"/>
      <c r="BK118" s="6">
        <v>10</v>
      </c>
      <c r="BL118" s="6">
        <v>40</v>
      </c>
      <c r="BM118" s="6">
        <v>30</v>
      </c>
      <c r="BN118" s="6">
        <v>10</v>
      </c>
      <c r="BO118" s="6">
        <v>10</v>
      </c>
      <c r="BP118" s="5"/>
      <c r="BQ118" s="43">
        <v>0.2</v>
      </c>
      <c r="BR118" s="43">
        <v>0.02</v>
      </c>
      <c r="BS118" s="43">
        <v>2.2000000000000002</v>
      </c>
      <c r="BT118" s="44">
        <v>0.02</v>
      </c>
      <c r="BU118" s="43">
        <v>-7.0000000000000007E-2</v>
      </c>
      <c r="BV118" s="5"/>
      <c r="BW118" s="43">
        <v>0.05</v>
      </c>
      <c r="BX118" s="43">
        <v>0.32</v>
      </c>
      <c r="BY118" s="43">
        <v>0.4</v>
      </c>
      <c r="BZ118" s="44">
        <v>0</v>
      </c>
      <c r="CA118" s="43">
        <v>0.03</v>
      </c>
      <c r="CB118" s="5"/>
      <c r="CC118" s="45">
        <f t="shared" ref="CC118:CC149" si="143">(BW118-BQ118)/BK118</f>
        <v>-1.5000000000000003E-2</v>
      </c>
      <c r="CD118" s="45">
        <f t="shared" ref="CD118:CD149" si="144">(BX118-BR118)/BL118</f>
        <v>7.4999999999999997E-3</v>
      </c>
      <c r="CE118" s="45">
        <f t="shared" ref="CE118:CE149" si="145">(BY118-BS118)/BM118</f>
        <v>-6.0000000000000012E-2</v>
      </c>
      <c r="CF118" s="46">
        <f t="shared" ref="CF118:CF149" si="146">(BZ118-BT118)/BN118</f>
        <v>-2E-3</v>
      </c>
      <c r="CG118" s="45">
        <f t="shared" ref="CG118:CG149" si="147">(CA118-BU118)/BO118</f>
        <v>0.01</v>
      </c>
      <c r="CH118" s="5"/>
      <c r="CI118" s="44">
        <f t="shared" ref="CI118:CI149" si="148">MIN(MAX(0,(BE118-BQ118)/CC118),BK118)</f>
        <v>10</v>
      </c>
      <c r="CJ118" s="44">
        <f t="shared" ref="CJ118:CJ149" si="149">MIN(MAX(0,(BF118-BR118)/CD118),BL118)</f>
        <v>19.49788573583422</v>
      </c>
      <c r="CK118" s="44">
        <f t="shared" ref="CK118:CK149" si="150">MIN(MAX(0,(BG118-BS118)/CE118),BM118)</f>
        <v>25.354130269862871</v>
      </c>
      <c r="CL118" s="44">
        <f t="shared" ref="CL118:CL149" si="151">MIN(MAX(0,(BH118-BT118)/CF118),BN118)</f>
        <v>10</v>
      </c>
      <c r="CM118" s="44">
        <f t="shared" ref="CM118:CM149" si="152">MIN(MAX(0,(BI118-BU118)/CG118),BO118)</f>
        <v>10</v>
      </c>
      <c r="CN118" s="47">
        <f t="shared" ref="CN118:CN149" si="153">IF(SUM(CI118:CM118)=100,CU118*0.00001,0)</f>
        <v>0</v>
      </c>
      <c r="CO118" s="5"/>
      <c r="CP118" s="47">
        <f t="shared" ref="CP118:CP149" si="154">ABS(BE118-BW118*CC118*BK118)</f>
        <v>7.5000000000000023E-3</v>
      </c>
      <c r="CQ118" s="47">
        <f t="shared" ref="CQ118:CQ149" si="155">ABS(BF118-BX118*CD118*BL118)</f>
        <v>7.0234143018756648E-2</v>
      </c>
      <c r="CR118" s="47">
        <f t="shared" ref="CR118:CR149" si="156">ABS(BG118-BY118*CE118*BM118)</f>
        <v>1.3987521838082277</v>
      </c>
      <c r="CS118" s="47">
        <f t="shared" ref="CS118:CS149" si="157">ABS(BH118-BZ118*CF118*BN118)</f>
        <v>0.80000000000000027</v>
      </c>
      <c r="CT118" s="47">
        <f t="shared" ref="CT118:CT149" si="158">ABS(BI118-CA118*CG118*BO118)</f>
        <v>3.3528572814592025E-2</v>
      </c>
      <c r="CU118" s="47">
        <f t="shared" ref="CU118:CU149" si="159">SUM(CP118:CT118)</f>
        <v>2.3100148996415766</v>
      </c>
    </row>
    <row r="119" spans="1:99" ht="15" customHeight="1">
      <c r="A119" s="5"/>
      <c r="B119" s="37" t="s">
        <v>128</v>
      </c>
      <c r="C119" s="37" t="s">
        <v>252</v>
      </c>
      <c r="D119" s="37" t="s">
        <v>255</v>
      </c>
      <c r="E119" s="26">
        <v>42551</v>
      </c>
      <c r="F119" s="38">
        <f t="shared" si="135"/>
        <v>78.744920714568664</v>
      </c>
      <c r="G119" s="4">
        <f>87506224-75572126</f>
        <v>11934098</v>
      </c>
      <c r="H119" s="4">
        <f>28366589-26413673</f>
        <v>1952916</v>
      </c>
      <c r="I119" s="4">
        <v>87506224</v>
      </c>
      <c r="J119" s="4">
        <v>61227750</v>
      </c>
      <c r="K119" s="4">
        <v>-1851331</v>
      </c>
      <c r="L119" s="4">
        <v>26541217</v>
      </c>
      <c r="M119" s="4">
        <v>274106</v>
      </c>
      <c r="N119" s="4">
        <v>4421379</v>
      </c>
      <c r="O119" s="4">
        <v>8387335</v>
      </c>
      <c r="P119" s="4">
        <f>O119+N119+M119+L119</f>
        <v>39624037</v>
      </c>
      <c r="Q119" s="4">
        <v>38282120</v>
      </c>
      <c r="R119" s="4">
        <f>P119-Q119</f>
        <v>1341917</v>
      </c>
      <c r="S119" s="27">
        <v>34206154</v>
      </c>
      <c r="T119" s="27">
        <v>32864796</v>
      </c>
      <c r="U119" s="27">
        <v>39608276</v>
      </c>
      <c r="V119" s="27">
        <v>39127326</v>
      </c>
      <c r="W119" s="27">
        <v>239913</v>
      </c>
      <c r="X119" s="27">
        <v>2546825</v>
      </c>
      <c r="Y119" s="27">
        <v>10841171</v>
      </c>
      <c r="Z119" s="27">
        <v>701957</v>
      </c>
      <c r="AA119" s="27">
        <v>12323720</v>
      </c>
      <c r="AB119" s="27">
        <f>X119+Y119+Z119+AA119</f>
        <v>26413673</v>
      </c>
      <c r="AC119" s="27">
        <v>701957</v>
      </c>
      <c r="AD119" s="27">
        <v>0</v>
      </c>
      <c r="AE119" s="27">
        <f t="shared" si="136"/>
        <v>701957</v>
      </c>
      <c r="AF119" s="27">
        <v>0</v>
      </c>
      <c r="AG119" s="27">
        <v>200564</v>
      </c>
      <c r="AH119" s="27">
        <v>193743</v>
      </c>
      <c r="AI119" s="27">
        <v>87424</v>
      </c>
      <c r="AJ119" s="26">
        <v>41821</v>
      </c>
      <c r="AK119" s="39">
        <v>0</v>
      </c>
      <c r="AL119" s="39">
        <v>2351989</v>
      </c>
      <c r="AM119" s="39">
        <f>AL119-AK119</f>
        <v>2351989</v>
      </c>
      <c r="AN119" s="40">
        <f t="shared" si="137"/>
        <v>0</v>
      </c>
      <c r="AO119" s="40">
        <v>0.04</v>
      </c>
      <c r="AP119" s="40">
        <v>2.5000000000000001E-2</v>
      </c>
      <c r="AQ119" s="27">
        <v>1033472</v>
      </c>
      <c r="AR119" s="27">
        <v>996816</v>
      </c>
      <c r="AS119" s="27">
        <v>0</v>
      </c>
      <c r="AT119" s="27">
        <v>0</v>
      </c>
      <c r="AU119" s="27">
        <v>172117</v>
      </c>
      <c r="AV119" s="27">
        <v>344556</v>
      </c>
      <c r="AW119" s="27">
        <v>5473132</v>
      </c>
      <c r="AX119" s="27">
        <f t="shared" si="138"/>
        <v>5989805</v>
      </c>
      <c r="AY119" s="27">
        <f>100000+103960</f>
        <v>203960</v>
      </c>
      <c r="AZ119" s="27">
        <f>60876+266793</f>
        <v>327669</v>
      </c>
      <c r="BA119" s="27">
        <f>1132196+2272693</f>
        <v>3404889</v>
      </c>
      <c r="BB119" s="27">
        <v>344556</v>
      </c>
      <c r="BC119" s="27">
        <v>4083153</v>
      </c>
      <c r="BD119" s="27">
        <f t="shared" si="139"/>
        <v>8364227</v>
      </c>
      <c r="BE119" s="29">
        <f t="shared" si="140"/>
        <v>2.6081946168180693E-2</v>
      </c>
      <c r="BF119" s="29">
        <f t="shared" si="141"/>
        <v>0.18225596166791969</v>
      </c>
      <c r="BG119" s="29">
        <f t="shared" si="142"/>
        <v>0.39300644707150861</v>
      </c>
      <c r="BH119" s="42">
        <f>VLOOKUP(B119,Unemployment!$A$2:$F$193,6,0)</f>
        <v>-0.20000000000000018</v>
      </c>
      <c r="BI119" s="52">
        <f>VLOOKUP(VLOOKUP(B119,Counties!$A$20:$E$189,2,0),Zillow!$C$3:$R$10,16,0)</f>
        <v>1.1079249217936867E-3</v>
      </c>
      <c r="BJ119" s="5"/>
      <c r="BK119" s="6">
        <v>10</v>
      </c>
      <c r="BL119" s="6">
        <v>40</v>
      </c>
      <c r="BM119" s="6">
        <v>30</v>
      </c>
      <c r="BN119" s="6">
        <v>10</v>
      </c>
      <c r="BO119" s="6">
        <v>10</v>
      </c>
      <c r="BP119" s="5"/>
      <c r="BQ119" s="43">
        <v>0.2</v>
      </c>
      <c r="BR119" s="43">
        <v>0.02</v>
      </c>
      <c r="BS119" s="43">
        <v>2.2000000000000002</v>
      </c>
      <c r="BT119" s="44">
        <v>0.02</v>
      </c>
      <c r="BU119" s="43">
        <v>-7.0000000000000007E-2</v>
      </c>
      <c r="BV119" s="5"/>
      <c r="BW119" s="43">
        <v>0.05</v>
      </c>
      <c r="BX119" s="43">
        <v>0.32</v>
      </c>
      <c r="BY119" s="43">
        <v>0.4</v>
      </c>
      <c r="BZ119" s="44">
        <v>0</v>
      </c>
      <c r="CA119" s="43">
        <v>0.03</v>
      </c>
      <c r="CB119" s="5"/>
      <c r="CC119" s="45">
        <f t="shared" si="143"/>
        <v>-1.5000000000000003E-2</v>
      </c>
      <c r="CD119" s="45">
        <f t="shared" si="144"/>
        <v>7.4999999999999997E-3</v>
      </c>
      <c r="CE119" s="45">
        <f t="shared" si="145"/>
        <v>-6.0000000000000012E-2</v>
      </c>
      <c r="CF119" s="46">
        <f t="shared" si="146"/>
        <v>-2E-3</v>
      </c>
      <c r="CG119" s="45">
        <f t="shared" si="147"/>
        <v>0.01</v>
      </c>
      <c r="CH119" s="5"/>
      <c r="CI119" s="44">
        <f t="shared" si="148"/>
        <v>10</v>
      </c>
      <c r="CJ119" s="44">
        <f t="shared" si="149"/>
        <v>21.634128222389293</v>
      </c>
      <c r="CK119" s="44">
        <f t="shared" si="150"/>
        <v>30</v>
      </c>
      <c r="CL119" s="44">
        <f t="shared" si="151"/>
        <v>10</v>
      </c>
      <c r="CM119" s="44">
        <f t="shared" si="152"/>
        <v>7.1107924921793702</v>
      </c>
      <c r="CN119" s="47">
        <f t="shared" si="153"/>
        <v>0</v>
      </c>
      <c r="CO119" s="5"/>
      <c r="CP119" s="47">
        <f t="shared" si="154"/>
        <v>3.3581946168180693E-2</v>
      </c>
      <c r="CQ119" s="47">
        <f t="shared" si="155"/>
        <v>8.6255961667919698E-2</v>
      </c>
      <c r="CR119" s="47">
        <f t="shared" si="156"/>
        <v>1.1130064470715089</v>
      </c>
      <c r="CS119" s="47">
        <f t="shared" si="157"/>
        <v>0.20000000000000018</v>
      </c>
      <c r="CT119" s="47">
        <f t="shared" si="158"/>
        <v>1.892075078206313E-3</v>
      </c>
      <c r="CU119" s="47">
        <f t="shared" si="159"/>
        <v>1.4347364299858159</v>
      </c>
    </row>
    <row r="120" spans="1:99" ht="15" customHeight="1">
      <c r="A120" s="5"/>
      <c r="B120" s="37" t="s">
        <v>148</v>
      </c>
      <c r="C120" s="37" t="s">
        <v>252</v>
      </c>
      <c r="D120" s="37" t="s">
        <v>255</v>
      </c>
      <c r="E120" s="26">
        <v>42551</v>
      </c>
      <c r="F120" s="38">
        <f t="shared" si="135"/>
        <v>83.53019430096893</v>
      </c>
      <c r="G120" s="4">
        <v>7731062</v>
      </c>
      <c r="H120" s="4">
        <f>10556176-6626066</f>
        <v>3930110</v>
      </c>
      <c r="I120" s="4">
        <v>23731494</v>
      </c>
      <c r="J120" s="4">
        <v>13304503</v>
      </c>
      <c r="K120" s="4">
        <v>4590462</v>
      </c>
      <c r="L120" s="4">
        <v>11486037</v>
      </c>
      <c r="M120" s="4">
        <v>889923</v>
      </c>
      <c r="N120" s="4">
        <v>374559</v>
      </c>
      <c r="O120" s="4">
        <v>5666845</v>
      </c>
      <c r="P120" s="4">
        <f>O120+N120+M120+L120</f>
        <v>18417364</v>
      </c>
      <c r="Q120" s="4">
        <v>18408020</v>
      </c>
      <c r="R120" s="4">
        <f>P120-Q120</f>
        <v>9344</v>
      </c>
      <c r="S120" s="27">
        <v>16169516</v>
      </c>
      <c r="T120" s="27">
        <v>16150853</v>
      </c>
      <c r="U120" s="27">
        <v>18445675</v>
      </c>
      <c r="V120" s="27">
        <v>18481552</v>
      </c>
      <c r="W120" s="27">
        <v>-236956</v>
      </c>
      <c r="X120" s="27">
        <v>651902</v>
      </c>
      <c r="Y120" s="27">
        <v>484141</v>
      </c>
      <c r="Z120" s="27">
        <v>650300</v>
      </c>
      <c r="AA120" s="27">
        <v>4839723</v>
      </c>
      <c r="AB120" s="27">
        <f>X120+Y120+Z120+AA120</f>
        <v>6626066</v>
      </c>
      <c r="AC120" s="27">
        <v>650300</v>
      </c>
      <c r="AD120" s="27">
        <v>0</v>
      </c>
      <c r="AE120" s="27">
        <f t="shared" si="136"/>
        <v>650300</v>
      </c>
      <c r="AF120" s="27">
        <v>0</v>
      </c>
      <c r="AG120" s="27">
        <v>157000</v>
      </c>
      <c r="AH120" s="27">
        <v>145700</v>
      </c>
      <c r="AI120" s="27">
        <v>75700</v>
      </c>
      <c r="AJ120" s="26">
        <v>41821</v>
      </c>
      <c r="AK120" s="39">
        <v>0</v>
      </c>
      <c r="AL120" s="39">
        <v>2355000</v>
      </c>
      <c r="AM120" s="39">
        <f>AL120-AK120</f>
        <v>2355000</v>
      </c>
      <c r="AN120" s="40">
        <f t="shared" si="137"/>
        <v>0</v>
      </c>
      <c r="AO120" s="40">
        <v>0.03</v>
      </c>
      <c r="AP120" s="50" t="s">
        <v>301</v>
      </c>
      <c r="AQ120" s="27">
        <v>92440</v>
      </c>
      <c r="AR120" s="27">
        <v>-92440</v>
      </c>
      <c r="AS120" s="27">
        <v>0</v>
      </c>
      <c r="AT120" s="27">
        <v>2112</v>
      </c>
      <c r="AU120" s="27">
        <v>0</v>
      </c>
      <c r="AV120" s="27">
        <v>787116</v>
      </c>
      <c r="AW120" s="27">
        <v>2631847</v>
      </c>
      <c r="AX120" s="27">
        <f t="shared" si="138"/>
        <v>3421075</v>
      </c>
      <c r="AY120" s="27">
        <v>30995</v>
      </c>
      <c r="AZ120" s="27">
        <v>159884</v>
      </c>
      <c r="BA120" s="27">
        <v>689507</v>
      </c>
      <c r="BB120" s="27">
        <v>1598481</v>
      </c>
      <c r="BC120" s="27">
        <v>783504</v>
      </c>
      <c r="BD120" s="27">
        <f t="shared" si="139"/>
        <v>3262371</v>
      </c>
      <c r="BE120" s="29">
        <f t="shared" si="140"/>
        <v>5.0191764684674742E-3</v>
      </c>
      <c r="BF120" s="29">
        <f t="shared" si="141"/>
        <v>0.21182008157711546</v>
      </c>
      <c r="BG120" s="29">
        <f t="shared" si="142"/>
        <v>0.33348556286339348</v>
      </c>
      <c r="BH120" s="42">
        <f>VLOOKUP(B120,Unemployment!$A$2:$F$193,6,0)</f>
        <v>-0.69999999999999929</v>
      </c>
      <c r="BI120" s="29">
        <f>VLOOKUP(B120,Zillow!$C$11:$R$193,16,0)</f>
        <v>9.5418342402019685E-3</v>
      </c>
      <c r="BJ120" s="5"/>
      <c r="BK120" s="6">
        <v>10</v>
      </c>
      <c r="BL120" s="6">
        <v>40</v>
      </c>
      <c r="BM120" s="6">
        <v>30</v>
      </c>
      <c r="BN120" s="6">
        <v>10</v>
      </c>
      <c r="BO120" s="6">
        <v>10</v>
      </c>
      <c r="BP120" s="5"/>
      <c r="BQ120" s="43">
        <v>0.2</v>
      </c>
      <c r="BR120" s="43">
        <v>0.02</v>
      </c>
      <c r="BS120" s="43">
        <v>2.2000000000000002</v>
      </c>
      <c r="BT120" s="44">
        <v>0.02</v>
      </c>
      <c r="BU120" s="43">
        <v>-7.0000000000000007E-2</v>
      </c>
      <c r="BV120" s="5"/>
      <c r="BW120" s="43">
        <v>0.05</v>
      </c>
      <c r="BX120" s="43">
        <v>0.32</v>
      </c>
      <c r="BY120" s="43">
        <v>0.4</v>
      </c>
      <c r="BZ120" s="44">
        <v>0</v>
      </c>
      <c r="CA120" s="43">
        <v>0.03</v>
      </c>
      <c r="CB120" s="5"/>
      <c r="CC120" s="45">
        <f t="shared" si="143"/>
        <v>-1.5000000000000003E-2</v>
      </c>
      <c r="CD120" s="45">
        <f t="shared" si="144"/>
        <v>7.4999999999999997E-3</v>
      </c>
      <c r="CE120" s="45">
        <f t="shared" si="145"/>
        <v>-6.0000000000000012E-2</v>
      </c>
      <c r="CF120" s="46">
        <f t="shared" si="146"/>
        <v>-2E-3</v>
      </c>
      <c r="CG120" s="45">
        <f t="shared" si="147"/>
        <v>0.01</v>
      </c>
      <c r="CH120" s="5"/>
      <c r="CI120" s="44">
        <f t="shared" si="148"/>
        <v>10</v>
      </c>
      <c r="CJ120" s="44">
        <f t="shared" si="149"/>
        <v>25.576010876948729</v>
      </c>
      <c r="CK120" s="44">
        <f t="shared" si="150"/>
        <v>30</v>
      </c>
      <c r="CL120" s="44">
        <f t="shared" si="151"/>
        <v>10</v>
      </c>
      <c r="CM120" s="44">
        <f t="shared" si="152"/>
        <v>7.9541834240201972</v>
      </c>
      <c r="CN120" s="47">
        <f t="shared" si="153"/>
        <v>0</v>
      </c>
      <c r="CO120" s="5"/>
      <c r="CP120" s="47">
        <f t="shared" si="154"/>
        <v>1.2519176468467477E-2</v>
      </c>
      <c r="CQ120" s="47">
        <f t="shared" si="155"/>
        <v>0.11582008157711547</v>
      </c>
      <c r="CR120" s="47">
        <f t="shared" si="156"/>
        <v>1.0534855628633937</v>
      </c>
      <c r="CS120" s="47">
        <f t="shared" si="157"/>
        <v>0.69999999999999929</v>
      </c>
      <c r="CT120" s="47">
        <f t="shared" si="158"/>
        <v>6.5418342402019693E-3</v>
      </c>
      <c r="CU120" s="47">
        <f t="shared" si="159"/>
        <v>1.8883666551491778</v>
      </c>
    </row>
    <row r="121" spans="1:99" ht="15" customHeight="1">
      <c r="A121" s="5"/>
      <c r="B121" s="37" t="s">
        <v>29</v>
      </c>
      <c r="C121" s="37" t="s">
        <v>252</v>
      </c>
      <c r="D121" s="37" t="s">
        <v>255</v>
      </c>
      <c r="E121" s="26">
        <v>42551</v>
      </c>
      <c r="F121" s="38">
        <f t="shared" si="135"/>
        <v>63.050897156661037</v>
      </c>
      <c r="G121" s="4">
        <f>22526834-16604690-1520214</f>
        <v>4401930</v>
      </c>
      <c r="H121" s="4">
        <f>3494905-2395627-761353</f>
        <v>337925</v>
      </c>
      <c r="I121" s="4">
        <v>22526834</v>
      </c>
      <c r="J121" s="4">
        <v>19102446</v>
      </c>
      <c r="K121" s="4">
        <v>1809008</v>
      </c>
      <c r="L121" s="4">
        <v>24567494</v>
      </c>
      <c r="M121" s="4">
        <v>174665</v>
      </c>
      <c r="N121" s="4">
        <v>1318294</v>
      </c>
      <c r="O121" s="4">
        <v>5623903</v>
      </c>
      <c r="P121" s="4">
        <f>L121+M121+N121+O121</f>
        <v>31684356</v>
      </c>
      <c r="Q121" s="4">
        <v>30859498</v>
      </c>
      <c r="R121" s="4">
        <v>824858</v>
      </c>
      <c r="S121" s="27">
        <v>31309518</v>
      </c>
      <c r="T121" s="27">
        <v>32313779</v>
      </c>
      <c r="U121" s="27">
        <v>32472607</v>
      </c>
      <c r="V121" s="27">
        <v>33022873</v>
      </c>
      <c r="W121" s="27">
        <v>384142</v>
      </c>
      <c r="X121" s="27">
        <v>761353</v>
      </c>
      <c r="Y121" s="27">
        <v>284466</v>
      </c>
      <c r="Z121" s="27">
        <v>539382</v>
      </c>
      <c r="AA121" s="27">
        <f>3156980-SUM(X121:Z121)</f>
        <v>1571779</v>
      </c>
      <c r="AB121" s="27">
        <f>SUM(X121:AA121)</f>
        <v>3156980</v>
      </c>
      <c r="AC121" s="27">
        <v>539382</v>
      </c>
      <c r="AD121" s="27">
        <v>0</v>
      </c>
      <c r="AE121" s="27">
        <f t="shared" si="136"/>
        <v>539382</v>
      </c>
      <c r="AF121" s="27">
        <v>0</v>
      </c>
      <c r="AG121" s="27">
        <v>70029</v>
      </c>
      <c r="AH121" s="27">
        <v>70029</v>
      </c>
      <c r="AI121" s="27">
        <v>17598</v>
      </c>
      <c r="AJ121" s="50" t="s">
        <v>263</v>
      </c>
      <c r="AK121" s="39">
        <v>0</v>
      </c>
      <c r="AL121" s="39">
        <v>589594</v>
      </c>
      <c r="AM121" s="39">
        <f>AL121-AK121</f>
        <v>589594</v>
      </c>
      <c r="AN121" s="40">
        <f t="shared" si="137"/>
        <v>0</v>
      </c>
      <c r="AO121" s="40">
        <v>0.02</v>
      </c>
      <c r="AP121" s="40"/>
      <c r="AQ121" s="27">
        <v>48927</v>
      </c>
      <c r="AR121" s="27">
        <v>48927</v>
      </c>
      <c r="AS121" s="27">
        <v>0</v>
      </c>
      <c r="AT121" s="27">
        <v>0</v>
      </c>
      <c r="AU121" s="27">
        <v>0</v>
      </c>
      <c r="AV121" s="27">
        <v>376590</v>
      </c>
      <c r="AW121" s="27">
        <v>1137579</v>
      </c>
      <c r="AX121" s="27">
        <f t="shared" si="138"/>
        <v>1514169</v>
      </c>
      <c r="AY121" s="27">
        <v>0</v>
      </c>
      <c r="AZ121" s="27">
        <v>322845</v>
      </c>
      <c r="BA121" s="27">
        <v>244918</v>
      </c>
      <c r="BB121" s="27">
        <v>1099734</v>
      </c>
      <c r="BC121" s="27">
        <v>1137579</v>
      </c>
      <c r="BD121" s="27">
        <f t="shared" si="139"/>
        <v>2805076</v>
      </c>
      <c r="BE121" s="29">
        <f t="shared" si="140"/>
        <v>1.5442005512120872E-3</v>
      </c>
      <c r="BF121" s="29">
        <f t="shared" si="141"/>
        <v>4.6858307720678539E-2</v>
      </c>
      <c r="BG121" s="29">
        <f t="shared" si="142"/>
        <v>9.0660324609406609E-2</v>
      </c>
      <c r="BH121" s="42">
        <f>VLOOKUP(B121,Unemployment!$A$2:$F$193,6,0)</f>
        <v>-0.79999999999999982</v>
      </c>
      <c r="BI121" s="29">
        <f>VLOOKUP(B121,Zillow!$C$11:$R$193,16,0)</f>
        <v>2.4697894605705668E-2</v>
      </c>
      <c r="BJ121" s="5"/>
      <c r="BK121" s="6">
        <v>10</v>
      </c>
      <c r="BL121" s="6">
        <v>40</v>
      </c>
      <c r="BM121" s="6">
        <v>30</v>
      </c>
      <c r="BN121" s="6">
        <v>10</v>
      </c>
      <c r="BO121" s="6">
        <v>10</v>
      </c>
      <c r="BP121" s="5"/>
      <c r="BQ121" s="43">
        <v>0.2</v>
      </c>
      <c r="BR121" s="43">
        <v>0.02</v>
      </c>
      <c r="BS121" s="43">
        <v>2.2000000000000002</v>
      </c>
      <c r="BT121" s="44">
        <v>0.02</v>
      </c>
      <c r="BU121" s="43">
        <v>-7.0000000000000007E-2</v>
      </c>
      <c r="BV121" s="5"/>
      <c r="BW121" s="43">
        <v>0.05</v>
      </c>
      <c r="BX121" s="43">
        <v>0.32</v>
      </c>
      <c r="BY121" s="43">
        <v>0.4</v>
      </c>
      <c r="BZ121" s="44">
        <v>0</v>
      </c>
      <c r="CA121" s="43">
        <v>0.03</v>
      </c>
      <c r="CB121" s="5"/>
      <c r="CC121" s="45">
        <f t="shared" si="143"/>
        <v>-1.5000000000000003E-2</v>
      </c>
      <c r="CD121" s="45">
        <f t="shared" si="144"/>
        <v>7.4999999999999997E-3</v>
      </c>
      <c r="CE121" s="45">
        <f t="shared" si="145"/>
        <v>-6.0000000000000012E-2</v>
      </c>
      <c r="CF121" s="46">
        <f t="shared" si="146"/>
        <v>-2E-3</v>
      </c>
      <c r="CG121" s="45">
        <f t="shared" si="147"/>
        <v>0.01</v>
      </c>
      <c r="CH121" s="5"/>
      <c r="CI121" s="44">
        <f t="shared" si="148"/>
        <v>10</v>
      </c>
      <c r="CJ121" s="44">
        <f t="shared" si="149"/>
        <v>3.5811076960904722</v>
      </c>
      <c r="CK121" s="44">
        <f t="shared" si="150"/>
        <v>30</v>
      </c>
      <c r="CL121" s="44">
        <f t="shared" si="151"/>
        <v>10</v>
      </c>
      <c r="CM121" s="44">
        <f t="shared" si="152"/>
        <v>9.469789460570567</v>
      </c>
      <c r="CN121" s="47">
        <f t="shared" si="153"/>
        <v>0</v>
      </c>
      <c r="CO121" s="5"/>
      <c r="CP121" s="47">
        <f t="shared" si="154"/>
        <v>9.0442005512120886E-3</v>
      </c>
      <c r="CQ121" s="47">
        <f t="shared" si="155"/>
        <v>4.9141692279321449E-2</v>
      </c>
      <c r="CR121" s="47">
        <f t="shared" si="156"/>
        <v>0.81066032460940685</v>
      </c>
      <c r="CS121" s="47">
        <f t="shared" si="157"/>
        <v>0.79999999999999982</v>
      </c>
      <c r="CT121" s="47">
        <f t="shared" si="158"/>
        <v>2.1697894605705668E-2</v>
      </c>
      <c r="CU121" s="47">
        <f t="shared" si="159"/>
        <v>1.6905441120456457</v>
      </c>
    </row>
    <row r="122" spans="1:99" ht="15" customHeight="1">
      <c r="A122" s="5"/>
      <c r="B122" s="37" t="s">
        <v>156</v>
      </c>
      <c r="C122" s="37" t="s">
        <v>252</v>
      </c>
      <c r="D122" s="37" t="s">
        <v>255</v>
      </c>
      <c r="E122" s="26">
        <v>42551</v>
      </c>
      <c r="F122" s="38">
        <f t="shared" si="135"/>
        <v>87.736095694431356</v>
      </c>
      <c r="G122" s="4">
        <f>137396634-85202157-12017004</f>
        <v>40177473</v>
      </c>
      <c r="H122" s="4">
        <f>53461591-20782978-508472</f>
        <v>32170141</v>
      </c>
      <c r="I122" s="4">
        <v>137396634</v>
      </c>
      <c r="J122" s="4">
        <v>84628585</v>
      </c>
      <c r="K122" s="4">
        <v>23765059</v>
      </c>
      <c r="L122" s="4">
        <v>16618822</v>
      </c>
      <c r="M122" s="4">
        <v>14486998</v>
      </c>
      <c r="N122" s="4">
        <v>6375099</v>
      </c>
      <c r="O122" s="4">
        <v>15397088</v>
      </c>
      <c r="P122" s="4">
        <f>L122+M122+N122+O122</f>
        <v>52878007</v>
      </c>
      <c r="Q122" s="4">
        <v>35086027</v>
      </c>
      <c r="R122" s="4">
        <v>17791980</v>
      </c>
      <c r="S122" s="27">
        <v>25321834</v>
      </c>
      <c r="T122" s="27">
        <v>24506075</v>
      </c>
      <c r="U122" s="27">
        <v>47399495</v>
      </c>
      <c r="V122" s="27">
        <v>51789320</v>
      </c>
      <c r="W122" s="27">
        <v>411548</v>
      </c>
      <c r="X122" s="27">
        <f>148911+359561</f>
        <v>508472</v>
      </c>
      <c r="Y122" s="27">
        <v>0</v>
      </c>
      <c r="Z122" s="27">
        <v>3418670</v>
      </c>
      <c r="AA122" s="27">
        <f>AB122-Z122-Y122-X122</f>
        <v>17364308</v>
      </c>
      <c r="AB122" s="27">
        <f>5724778+15566672</f>
        <v>21291450</v>
      </c>
      <c r="AC122" s="27">
        <v>3418670</v>
      </c>
      <c r="AD122" s="27">
        <v>0</v>
      </c>
      <c r="AE122" s="27">
        <f t="shared" si="136"/>
        <v>3418670</v>
      </c>
      <c r="AF122" s="27">
        <v>0</v>
      </c>
      <c r="AG122" s="27">
        <v>552700</v>
      </c>
      <c r="AH122" s="27">
        <v>506099</v>
      </c>
      <c r="AI122" s="27">
        <v>71392</v>
      </c>
      <c r="AJ122" s="50" t="s">
        <v>259</v>
      </c>
      <c r="AK122" s="39">
        <v>0</v>
      </c>
      <c r="AL122" s="39">
        <v>6061400</v>
      </c>
      <c r="AM122" s="39">
        <f>AL122-AK122</f>
        <v>6061400</v>
      </c>
      <c r="AN122" s="40">
        <f t="shared" si="137"/>
        <v>0</v>
      </c>
      <c r="AO122" s="49"/>
      <c r="AP122" s="40">
        <v>0.04</v>
      </c>
      <c r="AQ122" s="27">
        <v>185420</v>
      </c>
      <c r="AR122" s="27">
        <v>185420</v>
      </c>
      <c r="AS122" s="27">
        <v>0</v>
      </c>
      <c r="AT122" s="27">
        <v>0</v>
      </c>
      <c r="AU122" s="27">
        <f>994403+0+0+59040</f>
        <v>1053443</v>
      </c>
      <c r="AV122" s="27">
        <v>0</v>
      </c>
      <c r="AW122" s="27">
        <v>4612775</v>
      </c>
      <c r="AX122" s="27">
        <f t="shared" si="138"/>
        <v>5666218</v>
      </c>
      <c r="AY122" s="27">
        <f>1565158+14535</f>
        <v>1579693</v>
      </c>
      <c r="AZ122" s="27">
        <f>760198+578443+127975</f>
        <v>1466616</v>
      </c>
      <c r="BA122" s="27">
        <f>994403+8635970+365389+1424663</f>
        <v>11420425</v>
      </c>
      <c r="BB122" s="27">
        <v>0</v>
      </c>
      <c r="BC122" s="27">
        <v>-9458496</v>
      </c>
      <c r="BD122" s="27">
        <f t="shared" si="139"/>
        <v>5008238</v>
      </c>
      <c r="BE122" s="29">
        <f t="shared" si="140"/>
        <v>3.5065618112271137E-3</v>
      </c>
      <c r="BF122" s="29">
        <f t="shared" si="141"/>
        <v>0.23121687173486574</v>
      </c>
      <c r="BG122" s="29">
        <f t="shared" si="142"/>
        <v>0.40265227847940638</v>
      </c>
      <c r="BH122" s="42">
        <f>VLOOKUP(B122,Unemployment!$A$2:$F$193,6,0)</f>
        <v>-1.1000000000000005</v>
      </c>
      <c r="BI122" s="29">
        <f>VLOOKUP(B122,Zillow!$C$11:$R$193,16,0)</f>
        <v>2.618050771106022E-2</v>
      </c>
      <c r="BJ122" s="5"/>
      <c r="BK122" s="6">
        <v>10</v>
      </c>
      <c r="BL122" s="6">
        <v>40</v>
      </c>
      <c r="BM122" s="6">
        <v>30</v>
      </c>
      <c r="BN122" s="6">
        <v>10</v>
      </c>
      <c r="BO122" s="6">
        <v>10</v>
      </c>
      <c r="BP122" s="5"/>
      <c r="BQ122" s="43">
        <v>0.2</v>
      </c>
      <c r="BR122" s="43">
        <v>0.02</v>
      </c>
      <c r="BS122" s="43">
        <v>2.2000000000000002</v>
      </c>
      <c r="BT122" s="44">
        <v>0.02</v>
      </c>
      <c r="BU122" s="43">
        <v>-7.0000000000000007E-2</v>
      </c>
      <c r="BV122" s="5"/>
      <c r="BW122" s="43">
        <v>0.05</v>
      </c>
      <c r="BX122" s="43">
        <v>0.32</v>
      </c>
      <c r="BY122" s="43">
        <v>0.4</v>
      </c>
      <c r="BZ122" s="44">
        <v>0</v>
      </c>
      <c r="CA122" s="43">
        <v>0.03</v>
      </c>
      <c r="CB122" s="5"/>
      <c r="CC122" s="45">
        <f t="shared" si="143"/>
        <v>-1.5000000000000003E-2</v>
      </c>
      <c r="CD122" s="45">
        <f t="shared" si="144"/>
        <v>7.4999999999999997E-3</v>
      </c>
      <c r="CE122" s="45">
        <f t="shared" si="145"/>
        <v>-6.0000000000000012E-2</v>
      </c>
      <c r="CF122" s="46">
        <f t="shared" si="146"/>
        <v>-2E-3</v>
      </c>
      <c r="CG122" s="45">
        <f t="shared" si="147"/>
        <v>0.01</v>
      </c>
      <c r="CH122" s="5"/>
      <c r="CI122" s="44">
        <f t="shared" si="148"/>
        <v>10</v>
      </c>
      <c r="CJ122" s="44">
        <f t="shared" si="149"/>
        <v>28.162249564648768</v>
      </c>
      <c r="CK122" s="44">
        <f t="shared" si="150"/>
        <v>29.955795358676557</v>
      </c>
      <c r="CL122" s="44">
        <f t="shared" si="151"/>
        <v>10</v>
      </c>
      <c r="CM122" s="44">
        <f t="shared" si="152"/>
        <v>9.6180507711060219</v>
      </c>
      <c r="CN122" s="47">
        <f t="shared" si="153"/>
        <v>0</v>
      </c>
      <c r="CO122" s="5"/>
      <c r="CP122" s="47">
        <f t="shared" si="154"/>
        <v>1.1006561811227117E-2</v>
      </c>
      <c r="CQ122" s="47">
        <f t="shared" si="155"/>
        <v>0.13521687173486574</v>
      </c>
      <c r="CR122" s="47">
        <f t="shared" si="156"/>
        <v>1.1226522784794066</v>
      </c>
      <c r="CS122" s="47">
        <f t="shared" si="157"/>
        <v>1.1000000000000005</v>
      </c>
      <c r="CT122" s="47">
        <f t="shared" si="158"/>
        <v>2.3180507711060221E-2</v>
      </c>
      <c r="CU122" s="47">
        <f t="shared" si="159"/>
        <v>2.3920562197365602</v>
      </c>
    </row>
    <row r="123" spans="1:99" ht="15" customHeight="1">
      <c r="A123" s="5"/>
      <c r="B123" s="37" t="s">
        <v>106</v>
      </c>
      <c r="C123" s="37" t="s">
        <v>252</v>
      </c>
      <c r="D123" s="37" t="s">
        <v>255</v>
      </c>
      <c r="E123" s="26">
        <v>42551</v>
      </c>
      <c r="F123" s="38">
        <f t="shared" si="135"/>
        <v>75.7971035926642</v>
      </c>
      <c r="G123" s="4">
        <f>95902194-51798679-21711802</f>
        <v>22391713</v>
      </c>
      <c r="H123" s="4">
        <f>37770829-18507628-2359983</f>
        <v>16903218</v>
      </c>
      <c r="I123" s="4">
        <v>95902194</v>
      </c>
      <c r="J123" s="4">
        <v>56335006</v>
      </c>
      <c r="K123" s="4">
        <v>3823224</v>
      </c>
      <c r="L123" s="4">
        <v>46304195</v>
      </c>
      <c r="M123" s="4">
        <v>18328</v>
      </c>
      <c r="N123" s="4">
        <v>1869225</v>
      </c>
      <c r="O123" s="4">
        <v>4249637</v>
      </c>
      <c r="P123" s="4">
        <f>L123+M123+N123+O123</f>
        <v>52441385</v>
      </c>
      <c r="Q123" s="4">
        <v>50752975</v>
      </c>
      <c r="R123" s="4">
        <v>1688410</v>
      </c>
      <c r="S123" s="27">
        <v>50709756</v>
      </c>
      <c r="T123" s="27">
        <v>49940447</v>
      </c>
      <c r="U123" s="27">
        <v>52048524</v>
      </c>
      <c r="V123" s="27">
        <v>55913516</v>
      </c>
      <c r="W123" s="27">
        <v>817430</v>
      </c>
      <c r="X123" s="27">
        <v>2359983</v>
      </c>
      <c r="Y123" s="27">
        <v>4469285</v>
      </c>
      <c r="Z123" s="27">
        <v>2335138</v>
      </c>
      <c r="AA123" s="27">
        <f>20867611-2335138-4469285-2359983</f>
        <v>11703205</v>
      </c>
      <c r="AB123" s="27">
        <f>SUM(X123:AA123)</f>
        <v>20867611</v>
      </c>
      <c r="AC123" s="27">
        <v>2335138</v>
      </c>
      <c r="AD123" s="27">
        <v>0</v>
      </c>
      <c r="AE123" s="27">
        <f t="shared" si="136"/>
        <v>2335138</v>
      </c>
      <c r="AF123" s="27">
        <v>0</v>
      </c>
      <c r="AG123" s="27">
        <v>299947</v>
      </c>
      <c r="AH123" s="27">
        <v>266251</v>
      </c>
      <c r="AI123" s="27">
        <v>88756</v>
      </c>
      <c r="AJ123" s="26">
        <v>41821</v>
      </c>
      <c r="AK123" s="39">
        <v>0</v>
      </c>
      <c r="AL123" s="39">
        <v>2751153</v>
      </c>
      <c r="AM123" s="39">
        <v>2751153</v>
      </c>
      <c r="AN123" s="40">
        <f t="shared" si="137"/>
        <v>0</v>
      </c>
      <c r="AO123" s="40">
        <v>0.04</v>
      </c>
      <c r="AP123" s="50" t="s">
        <v>302</v>
      </c>
      <c r="AQ123" s="27">
        <v>1131728</v>
      </c>
      <c r="AR123" s="27">
        <v>1131728</v>
      </c>
      <c r="AS123" s="27">
        <v>1742005</v>
      </c>
      <c r="AT123" s="27">
        <v>0</v>
      </c>
      <c r="AU123" s="27">
        <v>200000</v>
      </c>
      <c r="AV123" s="27">
        <v>224909</v>
      </c>
      <c r="AW123" s="27">
        <v>7139238</v>
      </c>
      <c r="AX123" s="27">
        <f t="shared" si="138"/>
        <v>9306152</v>
      </c>
      <c r="AY123" s="27">
        <v>1742005</v>
      </c>
      <c r="AZ123" s="27">
        <v>200526</v>
      </c>
      <c r="BA123" s="27">
        <v>1406024</v>
      </c>
      <c r="BB123" s="27">
        <v>224909</v>
      </c>
      <c r="BC123" s="27">
        <v>-3548435</v>
      </c>
      <c r="BD123" s="27">
        <f t="shared" si="139"/>
        <v>25029</v>
      </c>
      <c r="BE123" s="29">
        <f t="shared" si="140"/>
        <v>2.1580818279303644E-2</v>
      </c>
      <c r="BF123" s="29">
        <f t="shared" si="141"/>
        <v>0.1863449880614805</v>
      </c>
      <c r="BG123" s="29">
        <f t="shared" si="142"/>
        <v>0.31269818674697475</v>
      </c>
      <c r="BH123" s="42">
        <f>VLOOKUP(B123,Unemployment!$A$2:$F$193,6,0)</f>
        <v>-0.29999999999999982</v>
      </c>
      <c r="BI123" s="29">
        <f>VLOOKUP(B123,Zillow!$C$11:$R$193,16,0)</f>
        <v>-3.3822281488665291E-2</v>
      </c>
      <c r="BJ123" s="5"/>
      <c r="BK123" s="6">
        <v>10</v>
      </c>
      <c r="BL123" s="6">
        <v>40</v>
      </c>
      <c r="BM123" s="6">
        <v>30</v>
      </c>
      <c r="BN123" s="6">
        <v>10</v>
      </c>
      <c r="BO123" s="6">
        <v>10</v>
      </c>
      <c r="BP123" s="5"/>
      <c r="BQ123" s="43">
        <v>0.2</v>
      </c>
      <c r="BR123" s="43">
        <v>0.02</v>
      </c>
      <c r="BS123" s="43">
        <v>2.2000000000000002</v>
      </c>
      <c r="BT123" s="44">
        <v>0.02</v>
      </c>
      <c r="BU123" s="43">
        <v>-7.0000000000000007E-2</v>
      </c>
      <c r="BV123" s="5"/>
      <c r="BW123" s="43">
        <v>0.05</v>
      </c>
      <c r="BX123" s="43">
        <v>0.32</v>
      </c>
      <c r="BY123" s="43">
        <v>0.4</v>
      </c>
      <c r="BZ123" s="44">
        <v>0</v>
      </c>
      <c r="CA123" s="43">
        <v>0.03</v>
      </c>
      <c r="CB123" s="5"/>
      <c r="CC123" s="45">
        <f t="shared" si="143"/>
        <v>-1.5000000000000003E-2</v>
      </c>
      <c r="CD123" s="45">
        <f t="shared" si="144"/>
        <v>7.4999999999999997E-3</v>
      </c>
      <c r="CE123" s="45">
        <f t="shared" si="145"/>
        <v>-6.0000000000000012E-2</v>
      </c>
      <c r="CF123" s="46">
        <f t="shared" si="146"/>
        <v>-2E-3</v>
      </c>
      <c r="CG123" s="45">
        <f t="shared" si="147"/>
        <v>0.01</v>
      </c>
      <c r="CH123" s="5"/>
      <c r="CI123" s="44">
        <f t="shared" si="148"/>
        <v>10</v>
      </c>
      <c r="CJ123" s="44">
        <f t="shared" si="149"/>
        <v>22.179331741530735</v>
      </c>
      <c r="CK123" s="44">
        <f t="shared" si="150"/>
        <v>30</v>
      </c>
      <c r="CL123" s="44">
        <f t="shared" si="151"/>
        <v>10</v>
      </c>
      <c r="CM123" s="44">
        <f t="shared" si="152"/>
        <v>3.6177718511334716</v>
      </c>
      <c r="CN123" s="47">
        <f t="shared" si="153"/>
        <v>0</v>
      </c>
      <c r="CO123" s="5"/>
      <c r="CP123" s="47">
        <f t="shared" si="154"/>
        <v>2.9080818279303648E-2</v>
      </c>
      <c r="CQ123" s="47">
        <f t="shared" si="155"/>
        <v>9.0344988061480516E-2</v>
      </c>
      <c r="CR123" s="47">
        <f t="shared" si="156"/>
        <v>1.0326981867469749</v>
      </c>
      <c r="CS123" s="47">
        <f t="shared" si="157"/>
        <v>0.29999999999999982</v>
      </c>
      <c r="CT123" s="47">
        <f t="shared" si="158"/>
        <v>3.6822281488665294E-2</v>
      </c>
      <c r="CU123" s="47">
        <f t="shared" si="159"/>
        <v>1.4889462745764244</v>
      </c>
    </row>
    <row r="124" spans="1:99" ht="15" customHeight="1">
      <c r="A124" s="5"/>
      <c r="B124" s="37" t="s">
        <v>48</v>
      </c>
      <c r="C124" s="37" t="s">
        <v>252</v>
      </c>
      <c r="D124" s="37" t="s">
        <v>255</v>
      </c>
      <c r="E124" s="26">
        <v>42551</v>
      </c>
      <c r="F124" s="38">
        <f t="shared" si="135"/>
        <v>67.070877911765336</v>
      </c>
      <c r="G124" s="4">
        <f>227201072-159791030-32682123</f>
        <v>34727919</v>
      </c>
      <c r="H124" s="4">
        <f>98965307-82529530-10676282</f>
        <v>5759495</v>
      </c>
      <c r="I124" s="4">
        <f>227201072+25498981</f>
        <v>252700053</v>
      </c>
      <c r="J124" s="4">
        <v>140179620</v>
      </c>
      <c r="K124" s="4">
        <v>28964190</v>
      </c>
      <c r="L124" s="4">
        <v>126842792</v>
      </c>
      <c r="M124" s="4">
        <v>764498</v>
      </c>
      <c r="N124" s="4">
        <v>13123414</v>
      </c>
      <c r="O124" s="4">
        <v>15652996</v>
      </c>
      <c r="P124" s="4">
        <f>L124+M124+N124+O124</f>
        <v>156383700</v>
      </c>
      <c r="Q124" s="4">
        <v>147561138</v>
      </c>
      <c r="R124" s="4">
        <v>8822562</v>
      </c>
      <c r="S124" s="27">
        <v>145507107</v>
      </c>
      <c r="T124" s="27">
        <v>143548301</v>
      </c>
      <c r="U124" s="27">
        <v>157543501</v>
      </c>
      <c r="V124" s="27">
        <v>158398036</v>
      </c>
      <c r="W124" s="27">
        <v>575511</v>
      </c>
      <c r="X124" s="27">
        <v>10676282</v>
      </c>
      <c r="Y124" s="27">
        <v>4440105</v>
      </c>
      <c r="Z124" s="27">
        <v>1054000</v>
      </c>
      <c r="AA124" s="27">
        <f>93205812-1054000-4440105-10676282</f>
        <v>77035425</v>
      </c>
      <c r="AB124" s="27">
        <f>SUM(X124:AA124)</f>
        <v>93205812</v>
      </c>
      <c r="AC124" s="27">
        <v>1054000</v>
      </c>
      <c r="AD124" s="27">
        <v>0</v>
      </c>
      <c r="AE124" s="27">
        <f t="shared" si="136"/>
        <v>1054000</v>
      </c>
      <c r="AF124" s="27">
        <v>0</v>
      </c>
      <c r="AG124" s="27">
        <v>1942000</v>
      </c>
      <c r="AH124" s="27">
        <v>1961000</v>
      </c>
      <c r="AI124" s="27">
        <v>2160000</v>
      </c>
      <c r="AJ124" s="26">
        <v>42186</v>
      </c>
      <c r="AK124" s="39">
        <v>2732000</v>
      </c>
      <c r="AL124" s="39">
        <v>25057000</v>
      </c>
      <c r="AM124" s="39">
        <v>22325000</v>
      </c>
      <c r="AN124" s="40">
        <f t="shared" si="137"/>
        <v>0.10903140838887337</v>
      </c>
      <c r="AO124" s="40"/>
      <c r="AP124" s="40"/>
      <c r="AQ124" s="27">
        <f>1693900+353931+655614</f>
        <v>2703445</v>
      </c>
      <c r="AR124" s="27">
        <f>1709440+353931+661629</f>
        <v>2725000</v>
      </c>
      <c r="AS124" s="27">
        <v>0</v>
      </c>
      <c r="AT124" s="27">
        <v>0</v>
      </c>
      <c r="AU124" s="27">
        <v>0</v>
      </c>
      <c r="AV124" s="27">
        <v>3000480</v>
      </c>
      <c r="AW124" s="27">
        <v>14074534</v>
      </c>
      <c r="AX124" s="27">
        <f t="shared" si="138"/>
        <v>17075014</v>
      </c>
      <c r="AY124" s="27">
        <v>42709</v>
      </c>
      <c r="AZ124" s="27">
        <v>4208672</v>
      </c>
      <c r="BA124" s="27">
        <v>3460761</v>
      </c>
      <c r="BB124" s="27">
        <v>3000480</v>
      </c>
      <c r="BC124" s="27">
        <v>14072366</v>
      </c>
      <c r="BD124" s="27">
        <f t="shared" si="139"/>
        <v>24784988</v>
      </c>
      <c r="BE124" s="29">
        <f t="shared" si="140"/>
        <v>1.7287255641093031E-2</v>
      </c>
      <c r="BF124" s="29">
        <f t="shared" si="141"/>
        <v>0.11894960707337107</v>
      </c>
      <c r="BG124" s="29">
        <f t="shared" si="142"/>
        <v>0.56761482814385389</v>
      </c>
      <c r="BH124" s="42">
        <f>VLOOKUP(B124,Unemployment!$A$2:$F$193,6,0)</f>
        <v>-0.29999999999999982</v>
      </c>
      <c r="BI124" s="52">
        <f>VLOOKUP(VLOOKUP(B124,Counties!$A$20:$E$189,2,0),Zillow!$C$3:$R$10,16,0)</f>
        <v>-3.288225622865815E-3</v>
      </c>
      <c r="BJ124" s="5"/>
      <c r="BK124" s="6">
        <v>10</v>
      </c>
      <c r="BL124" s="6">
        <v>40</v>
      </c>
      <c r="BM124" s="6">
        <v>30</v>
      </c>
      <c r="BN124" s="6">
        <v>10</v>
      </c>
      <c r="BO124" s="6">
        <v>10</v>
      </c>
      <c r="BP124" s="5"/>
      <c r="BQ124" s="43">
        <v>0.2</v>
      </c>
      <c r="BR124" s="43">
        <v>0.02</v>
      </c>
      <c r="BS124" s="43">
        <v>2.2000000000000002</v>
      </c>
      <c r="BT124" s="44">
        <v>0.02</v>
      </c>
      <c r="BU124" s="43">
        <v>-7.0000000000000007E-2</v>
      </c>
      <c r="BV124" s="5"/>
      <c r="BW124" s="43">
        <v>0.05</v>
      </c>
      <c r="BX124" s="43">
        <v>0.32</v>
      </c>
      <c r="BY124" s="43">
        <v>0.4</v>
      </c>
      <c r="BZ124" s="44">
        <v>0</v>
      </c>
      <c r="CA124" s="43">
        <v>0.03</v>
      </c>
      <c r="CB124" s="5"/>
      <c r="CC124" s="45">
        <f t="shared" si="143"/>
        <v>-1.5000000000000003E-2</v>
      </c>
      <c r="CD124" s="45">
        <f t="shared" si="144"/>
        <v>7.4999999999999997E-3</v>
      </c>
      <c r="CE124" s="45">
        <f t="shared" si="145"/>
        <v>-6.0000000000000012E-2</v>
      </c>
      <c r="CF124" s="46">
        <f t="shared" si="146"/>
        <v>-2E-3</v>
      </c>
      <c r="CG124" s="45">
        <f t="shared" si="147"/>
        <v>0.01</v>
      </c>
      <c r="CH124" s="5"/>
      <c r="CI124" s="44">
        <f t="shared" si="148"/>
        <v>10</v>
      </c>
      <c r="CJ124" s="44">
        <f t="shared" si="149"/>
        <v>13.193280943116143</v>
      </c>
      <c r="CK124" s="44">
        <f t="shared" si="150"/>
        <v>27.206419530935769</v>
      </c>
      <c r="CL124" s="44">
        <f t="shared" si="151"/>
        <v>10</v>
      </c>
      <c r="CM124" s="44">
        <f t="shared" si="152"/>
        <v>6.6711774377134185</v>
      </c>
      <c r="CN124" s="47">
        <f t="shared" si="153"/>
        <v>0</v>
      </c>
      <c r="CO124" s="5"/>
      <c r="CP124" s="47">
        <f t="shared" si="154"/>
        <v>2.4787255641093034E-2</v>
      </c>
      <c r="CQ124" s="47">
        <f t="shared" si="155"/>
        <v>2.2949607073371084E-2</v>
      </c>
      <c r="CR124" s="47">
        <f t="shared" si="156"/>
        <v>1.287614828143854</v>
      </c>
      <c r="CS124" s="47">
        <f t="shared" si="157"/>
        <v>0.29999999999999982</v>
      </c>
      <c r="CT124" s="47">
        <f t="shared" si="158"/>
        <v>6.2882256228658142E-3</v>
      </c>
      <c r="CU124" s="47">
        <f t="shared" si="159"/>
        <v>1.6416399164811837</v>
      </c>
    </row>
    <row r="125" spans="1:99" ht="15" customHeight="1">
      <c r="A125" s="5"/>
      <c r="B125" s="37" t="s">
        <v>41</v>
      </c>
      <c r="C125" s="37" t="s">
        <v>252</v>
      </c>
      <c r="D125" s="37" t="s">
        <v>255</v>
      </c>
      <c r="E125" s="26">
        <v>42551</v>
      </c>
      <c r="F125" s="38">
        <f t="shared" si="135"/>
        <v>65.770079535499519</v>
      </c>
      <c r="G125" s="4">
        <f>122125207-44541392-39457687</f>
        <v>38126128</v>
      </c>
      <c r="H125" s="4">
        <f>82706889-45036065-2899317</f>
        <v>34771507</v>
      </c>
      <c r="I125" s="4">
        <v>122125207</v>
      </c>
      <c r="J125" s="4">
        <v>36668287</v>
      </c>
      <c r="K125" s="4">
        <v>-7213416</v>
      </c>
      <c r="L125" s="4">
        <v>63169826</v>
      </c>
      <c r="M125" s="4">
        <v>4988276</v>
      </c>
      <c r="N125" s="4">
        <v>2836171</v>
      </c>
      <c r="O125" s="4">
        <v>11447526</v>
      </c>
      <c r="P125" s="4">
        <f>L125+M125+N125+O125</f>
        <v>82441799</v>
      </c>
      <c r="Q125" s="4">
        <v>78606780</v>
      </c>
      <c r="R125" s="4">
        <v>3835019</v>
      </c>
      <c r="S125" s="27">
        <v>72666162</v>
      </c>
      <c r="T125" s="27">
        <v>72385328</v>
      </c>
      <c r="U125" s="27">
        <v>82435143</v>
      </c>
      <c r="V125" s="27">
        <v>99412734</v>
      </c>
      <c r="W125" s="27">
        <v>-286283</v>
      </c>
      <c r="X125" s="27">
        <v>2899317</v>
      </c>
      <c r="Y125" s="27">
        <v>7851694</v>
      </c>
      <c r="Z125" s="27">
        <v>7738758</v>
      </c>
      <c r="AA125" s="27">
        <f>47935382-SUM(X125:Z125)</f>
        <v>29445613</v>
      </c>
      <c r="AB125" s="27">
        <f>SUM(X125:AA125)</f>
        <v>47935382</v>
      </c>
      <c r="AC125" s="27">
        <f>7369743+369015</f>
        <v>7738758</v>
      </c>
      <c r="AD125" s="27">
        <v>0</v>
      </c>
      <c r="AE125" s="27">
        <f t="shared" si="136"/>
        <v>7738758</v>
      </c>
      <c r="AF125" s="27">
        <v>0</v>
      </c>
      <c r="AG125" s="27">
        <f>1725195+188380</f>
        <v>1913575</v>
      </c>
      <c r="AH125" s="27">
        <f>1664245+182003</f>
        <v>1846248</v>
      </c>
      <c r="AI125" s="27">
        <f>692779+60201</f>
        <v>752980</v>
      </c>
      <c r="AJ125" s="26">
        <v>41821</v>
      </c>
      <c r="AK125" s="39">
        <f>721148+0</f>
        <v>721148</v>
      </c>
      <c r="AL125" s="39">
        <f>16225361+1471384</f>
        <v>17696745</v>
      </c>
      <c r="AM125" s="39">
        <f>AL125-AK125</f>
        <v>16975597</v>
      </c>
      <c r="AN125" s="40">
        <f t="shared" si="137"/>
        <v>4.0750318773311138E-2</v>
      </c>
      <c r="AO125" s="40">
        <v>0.04</v>
      </c>
      <c r="AP125" s="40">
        <v>2.5000000000000001E-2</v>
      </c>
      <c r="AQ125" s="27">
        <f>1414908+499336+49697</f>
        <v>1963941</v>
      </c>
      <c r="AR125" s="27">
        <f>1340000+559822+81500</f>
        <v>1981322</v>
      </c>
      <c r="AS125" s="27">
        <v>0</v>
      </c>
      <c r="AT125" s="27">
        <v>0</v>
      </c>
      <c r="AU125" s="27">
        <v>0</v>
      </c>
      <c r="AV125" s="27">
        <v>1733105</v>
      </c>
      <c r="AW125" s="27">
        <v>4269483</v>
      </c>
      <c r="AX125" s="27">
        <f t="shared" si="138"/>
        <v>6002588</v>
      </c>
      <c r="AY125" s="27">
        <v>56400</v>
      </c>
      <c r="AZ125" s="27">
        <v>159377</v>
      </c>
      <c r="BA125" s="27">
        <v>3147073</v>
      </c>
      <c r="BB125" s="27">
        <v>1733105</v>
      </c>
      <c r="BC125" s="27">
        <v>-9830428</v>
      </c>
      <c r="BD125" s="27">
        <f t="shared" si="139"/>
        <v>-4734473</v>
      </c>
      <c r="BE125" s="29">
        <f t="shared" si="140"/>
        <v>2.3822151188136978E-2</v>
      </c>
      <c r="BF125" s="29">
        <f t="shared" si="141"/>
        <v>8.2925479041830133E-2</v>
      </c>
      <c r="BG125" s="29">
        <f t="shared" si="142"/>
        <v>0.48620588689482624</v>
      </c>
      <c r="BH125" s="42">
        <f>VLOOKUP(B125,Unemployment!$A$2:$F$193,6,0)</f>
        <v>-0.30000000000000027</v>
      </c>
      <c r="BI125" s="29">
        <f>VLOOKUP(B125,Zillow!$C$11:$R$193,16,0)</f>
        <v>1.816780444835939E-2</v>
      </c>
      <c r="BJ125" s="5"/>
      <c r="BK125" s="6">
        <v>10</v>
      </c>
      <c r="BL125" s="6">
        <v>40</v>
      </c>
      <c r="BM125" s="6">
        <v>30</v>
      </c>
      <c r="BN125" s="6">
        <v>10</v>
      </c>
      <c r="BO125" s="6">
        <v>10</v>
      </c>
      <c r="BP125" s="5"/>
      <c r="BQ125" s="43">
        <v>0.2</v>
      </c>
      <c r="BR125" s="43">
        <v>0.02</v>
      </c>
      <c r="BS125" s="43">
        <v>2.2000000000000002</v>
      </c>
      <c r="BT125" s="44">
        <v>0.02</v>
      </c>
      <c r="BU125" s="43">
        <v>-7.0000000000000007E-2</v>
      </c>
      <c r="BV125" s="5"/>
      <c r="BW125" s="43">
        <v>0.05</v>
      </c>
      <c r="BX125" s="43">
        <v>0.32</v>
      </c>
      <c r="BY125" s="43">
        <v>0.4</v>
      </c>
      <c r="BZ125" s="44">
        <v>0</v>
      </c>
      <c r="CA125" s="43">
        <v>0.03</v>
      </c>
      <c r="CB125" s="5"/>
      <c r="CC125" s="45">
        <f t="shared" si="143"/>
        <v>-1.5000000000000003E-2</v>
      </c>
      <c r="CD125" s="45">
        <f t="shared" si="144"/>
        <v>7.4999999999999997E-3</v>
      </c>
      <c r="CE125" s="45">
        <f t="shared" si="145"/>
        <v>-6.0000000000000012E-2</v>
      </c>
      <c r="CF125" s="46">
        <f t="shared" si="146"/>
        <v>-2E-3</v>
      </c>
      <c r="CG125" s="45">
        <f t="shared" si="147"/>
        <v>0.01</v>
      </c>
      <c r="CH125" s="5"/>
      <c r="CI125" s="44">
        <f t="shared" si="148"/>
        <v>10</v>
      </c>
      <c r="CJ125" s="44">
        <f t="shared" si="149"/>
        <v>8.3900638722440171</v>
      </c>
      <c r="CK125" s="44">
        <f t="shared" si="150"/>
        <v>28.56323521841956</v>
      </c>
      <c r="CL125" s="44">
        <f t="shared" si="151"/>
        <v>10</v>
      </c>
      <c r="CM125" s="44">
        <f t="shared" si="152"/>
        <v>8.8167804448359384</v>
      </c>
      <c r="CN125" s="47">
        <f t="shared" si="153"/>
        <v>0</v>
      </c>
      <c r="CO125" s="5"/>
      <c r="CP125" s="47">
        <f t="shared" si="154"/>
        <v>3.1322151188136978E-2</v>
      </c>
      <c r="CQ125" s="47">
        <f t="shared" si="155"/>
        <v>1.3074520958169855E-2</v>
      </c>
      <c r="CR125" s="47">
        <f t="shared" si="156"/>
        <v>1.2062058868948264</v>
      </c>
      <c r="CS125" s="47">
        <f t="shared" si="157"/>
        <v>0.30000000000000027</v>
      </c>
      <c r="CT125" s="47">
        <f t="shared" si="158"/>
        <v>1.5167804448359391E-2</v>
      </c>
      <c r="CU125" s="47">
        <f t="shared" si="159"/>
        <v>1.5657703634894931</v>
      </c>
    </row>
    <row r="126" spans="1:99" ht="15" customHeight="1">
      <c r="A126" s="5"/>
      <c r="B126" s="37" t="s">
        <v>159</v>
      </c>
      <c r="C126" s="37" t="s">
        <v>252</v>
      </c>
      <c r="D126" s="37" t="s">
        <v>255</v>
      </c>
      <c r="E126" s="26">
        <v>42551</v>
      </c>
      <c r="F126" s="38">
        <f t="shared" si="135"/>
        <v>90.119487692153001</v>
      </c>
      <c r="G126" s="4">
        <v>6113271</v>
      </c>
      <c r="H126" s="4">
        <f>508851-268778</f>
        <v>240073</v>
      </c>
      <c r="I126" s="4">
        <v>16871307</v>
      </c>
      <c r="J126" s="4">
        <v>16249049</v>
      </c>
      <c r="K126" s="4">
        <v>3300014</v>
      </c>
      <c r="L126" s="4">
        <f>9586930+23061+10634+88960</f>
        <v>9709585</v>
      </c>
      <c r="M126" s="4">
        <v>456944</v>
      </c>
      <c r="N126" s="4">
        <v>391782</v>
      </c>
      <c r="O126" s="4">
        <v>309625</v>
      </c>
      <c r="P126" s="4">
        <f>SUM(L126:O126)</f>
        <v>10867936</v>
      </c>
      <c r="Q126" s="4">
        <v>10862621</v>
      </c>
      <c r="R126" s="4">
        <f>P126-Q126</f>
        <v>5315</v>
      </c>
      <c r="S126" s="27">
        <v>10292835</v>
      </c>
      <c r="T126" s="27">
        <v>9743394</v>
      </c>
      <c r="U126" s="27">
        <v>10879010</v>
      </c>
      <c r="V126" s="27">
        <v>10461231</v>
      </c>
      <c r="W126" s="27">
        <v>215941</v>
      </c>
      <c r="X126" s="27">
        <v>6116</v>
      </c>
      <c r="Y126" s="27">
        <v>0</v>
      </c>
      <c r="Z126" s="27">
        <v>231561</v>
      </c>
      <c r="AA126" s="27">
        <f>274894-Z126-Y126-X126</f>
        <v>37217</v>
      </c>
      <c r="AB126" s="27">
        <f>X126+Y126+Z126+AA126</f>
        <v>274894</v>
      </c>
      <c r="AC126" s="27">
        <v>231561</v>
      </c>
      <c r="AD126" s="27">
        <v>0</v>
      </c>
      <c r="AE126" s="27">
        <f t="shared" si="136"/>
        <v>231561</v>
      </c>
      <c r="AF126" s="27">
        <v>0</v>
      </c>
      <c r="AG126" s="27">
        <v>48033</v>
      </c>
      <c r="AH126" s="27">
        <v>46159</v>
      </c>
      <c r="AI126" s="27">
        <v>4341</v>
      </c>
      <c r="AJ126" s="26">
        <v>42186</v>
      </c>
      <c r="AK126" s="39">
        <v>0</v>
      </c>
      <c r="AL126" s="39">
        <v>198455</v>
      </c>
      <c r="AM126" s="39">
        <f>AL126-AK126</f>
        <v>198455</v>
      </c>
      <c r="AN126" s="40">
        <f t="shared" si="137"/>
        <v>0</v>
      </c>
      <c r="AO126" s="40">
        <v>0.04</v>
      </c>
      <c r="AP126" s="50" t="s">
        <v>303</v>
      </c>
      <c r="AQ126" s="27">
        <v>0</v>
      </c>
      <c r="AR126" s="27">
        <v>0</v>
      </c>
      <c r="AS126" s="27">
        <v>5317</v>
      </c>
      <c r="AT126" s="27">
        <v>0</v>
      </c>
      <c r="AU126" s="27">
        <f>122883+13249+79393+116456</f>
        <v>331981</v>
      </c>
      <c r="AV126" s="27">
        <v>0</v>
      </c>
      <c r="AW126" s="27">
        <v>2095092</v>
      </c>
      <c r="AX126" s="27">
        <f t="shared" si="138"/>
        <v>2432390</v>
      </c>
      <c r="AY126" s="27">
        <f>221000+5317</f>
        <v>226317</v>
      </c>
      <c r="AZ126" s="27">
        <f>847440+220163+810223+8336+365398+57424</f>
        <v>2308984</v>
      </c>
      <c r="BA126" s="27">
        <f>122883+13249+79393+654758+550829</f>
        <v>1421112</v>
      </c>
      <c r="BB126" s="27">
        <v>0</v>
      </c>
      <c r="BC126" s="27">
        <v>2095092</v>
      </c>
      <c r="BD126" s="27">
        <f t="shared" si="139"/>
        <v>6051505</v>
      </c>
      <c r="BE126" s="29">
        <f t="shared" si="140"/>
        <v>0</v>
      </c>
      <c r="BF126" s="29">
        <f t="shared" si="141"/>
        <v>0.24964504155328215</v>
      </c>
      <c r="BG126" s="29">
        <f t="shared" si="142"/>
        <v>2.5294039272958545E-2</v>
      </c>
      <c r="BH126" s="42">
        <f>VLOOKUP(B126,Unemployment!$A$2:$F$193,6,0)</f>
        <v>-9.9999999999999645E-2</v>
      </c>
      <c r="BI126" s="29">
        <f>VLOOKUP(B126,Zillow!$C$11:$R$193,16,0)</f>
        <v>2.5001488183820468E-2</v>
      </c>
      <c r="BJ126" s="5"/>
      <c r="BK126" s="6">
        <v>10</v>
      </c>
      <c r="BL126" s="6">
        <v>40</v>
      </c>
      <c r="BM126" s="6">
        <v>30</v>
      </c>
      <c r="BN126" s="6">
        <v>10</v>
      </c>
      <c r="BO126" s="6">
        <v>10</v>
      </c>
      <c r="BP126" s="5"/>
      <c r="BQ126" s="43">
        <v>0.2</v>
      </c>
      <c r="BR126" s="43">
        <v>0.02</v>
      </c>
      <c r="BS126" s="43">
        <v>2.2000000000000002</v>
      </c>
      <c r="BT126" s="44">
        <v>0.02</v>
      </c>
      <c r="BU126" s="43">
        <v>-7.0000000000000007E-2</v>
      </c>
      <c r="BV126" s="5"/>
      <c r="BW126" s="43">
        <v>0.05</v>
      </c>
      <c r="BX126" s="43">
        <v>0.32</v>
      </c>
      <c r="BY126" s="43">
        <v>0.4</v>
      </c>
      <c r="BZ126" s="44">
        <v>0</v>
      </c>
      <c r="CA126" s="43">
        <v>0.03</v>
      </c>
      <c r="CB126" s="5"/>
      <c r="CC126" s="45">
        <f t="shared" si="143"/>
        <v>-1.5000000000000003E-2</v>
      </c>
      <c r="CD126" s="45">
        <f t="shared" si="144"/>
        <v>7.4999999999999997E-3</v>
      </c>
      <c r="CE126" s="45">
        <f t="shared" si="145"/>
        <v>-6.0000000000000012E-2</v>
      </c>
      <c r="CF126" s="46">
        <f t="shared" si="146"/>
        <v>-2E-3</v>
      </c>
      <c r="CG126" s="45">
        <f t="shared" si="147"/>
        <v>0.01</v>
      </c>
      <c r="CH126" s="5"/>
      <c r="CI126" s="44">
        <f t="shared" si="148"/>
        <v>10</v>
      </c>
      <c r="CJ126" s="44">
        <f t="shared" si="149"/>
        <v>30.619338873770957</v>
      </c>
      <c r="CK126" s="44">
        <f t="shared" si="150"/>
        <v>30</v>
      </c>
      <c r="CL126" s="44">
        <f t="shared" si="151"/>
        <v>10</v>
      </c>
      <c r="CM126" s="44">
        <f t="shared" si="152"/>
        <v>9.5001488183820477</v>
      </c>
      <c r="CN126" s="47">
        <f t="shared" si="153"/>
        <v>0</v>
      </c>
      <c r="CO126" s="5"/>
      <c r="CP126" s="47">
        <f t="shared" si="154"/>
        <v>7.5000000000000023E-3</v>
      </c>
      <c r="CQ126" s="47">
        <f t="shared" si="155"/>
        <v>0.15364504155328218</v>
      </c>
      <c r="CR126" s="47">
        <f t="shared" si="156"/>
        <v>0.74529403927295879</v>
      </c>
      <c r="CS126" s="47">
        <f t="shared" si="157"/>
        <v>9.9999999999999645E-2</v>
      </c>
      <c r="CT126" s="47">
        <f t="shared" si="158"/>
        <v>2.2001488183820469E-2</v>
      </c>
      <c r="CU126" s="47">
        <f t="shared" si="159"/>
        <v>1.0284405690100611</v>
      </c>
    </row>
    <row r="127" spans="1:99" ht="15" customHeight="1">
      <c r="A127" s="5"/>
      <c r="B127" s="37" t="s">
        <v>131</v>
      </c>
      <c r="C127" s="37" t="s">
        <v>252</v>
      </c>
      <c r="D127" s="37" t="s">
        <v>255</v>
      </c>
      <c r="E127" s="26">
        <v>42551</v>
      </c>
      <c r="F127" s="38">
        <f t="shared" si="135"/>
        <v>79.222126895742406</v>
      </c>
      <c r="G127" s="4">
        <v>6433594</v>
      </c>
      <c r="H127" s="4">
        <v>984873</v>
      </c>
      <c r="I127" s="4">
        <v>27567624</v>
      </c>
      <c r="J127" s="4">
        <v>20691961</v>
      </c>
      <c r="K127" s="4">
        <v>3460231</v>
      </c>
      <c r="L127" s="4">
        <v>11706021</v>
      </c>
      <c r="M127" s="4">
        <v>158802</v>
      </c>
      <c r="N127" s="4">
        <v>348556</v>
      </c>
      <c r="O127" s="4">
        <v>4946484</v>
      </c>
      <c r="P127" s="4">
        <f>L127+M127+N127+O127</f>
        <v>17159863</v>
      </c>
      <c r="Q127" s="4">
        <v>16087848</v>
      </c>
      <c r="R127" s="4">
        <v>1072015</v>
      </c>
      <c r="S127" s="27">
        <v>16527256</v>
      </c>
      <c r="T127" s="27">
        <v>14987615</v>
      </c>
      <c r="U127" s="27">
        <v>17204193</v>
      </c>
      <c r="V127" s="27">
        <v>16633922</v>
      </c>
      <c r="W127" s="27">
        <v>190574</v>
      </c>
      <c r="X127" s="27">
        <v>360587</v>
      </c>
      <c r="Y127" s="27">
        <v>0</v>
      </c>
      <c r="Z127" s="27">
        <v>1124675</v>
      </c>
      <c r="AA127" s="27">
        <v>4405528</v>
      </c>
      <c r="AB127" s="27">
        <f>SUM(X127:AA127)</f>
        <v>5890790</v>
      </c>
      <c r="AC127" s="27">
        <v>1124675</v>
      </c>
      <c r="AD127" s="27">
        <v>0</v>
      </c>
      <c r="AE127" s="27">
        <f t="shared" si="136"/>
        <v>1124675</v>
      </c>
      <c r="AF127" s="27">
        <v>0</v>
      </c>
      <c r="AG127" s="27">
        <v>193459</v>
      </c>
      <c r="AH127" s="27">
        <v>196868</v>
      </c>
      <c r="AI127" s="27">
        <v>14367</v>
      </c>
      <c r="AJ127" s="26">
        <v>42551</v>
      </c>
      <c r="AK127" s="39">
        <v>0</v>
      </c>
      <c r="AL127" s="39">
        <v>1811113</v>
      </c>
      <c r="AM127" s="39">
        <v>-1811113</v>
      </c>
      <c r="AN127" s="40">
        <v>0</v>
      </c>
      <c r="AO127" s="40">
        <v>4.4999999999999998E-2</v>
      </c>
      <c r="AP127" s="50" t="s">
        <v>304</v>
      </c>
      <c r="AQ127" s="27"/>
      <c r="AR127" s="27"/>
      <c r="AS127" s="27">
        <v>0</v>
      </c>
      <c r="AT127" s="27">
        <v>28072</v>
      </c>
      <c r="AU127" s="27">
        <v>0</v>
      </c>
      <c r="AV127" s="27">
        <v>355917</v>
      </c>
      <c r="AW127" s="27">
        <v>2438257</v>
      </c>
      <c r="AX127" s="27">
        <f t="shared" si="138"/>
        <v>2822246</v>
      </c>
      <c r="AY127" s="27">
        <v>2247</v>
      </c>
      <c r="AZ127" s="27">
        <v>776613</v>
      </c>
      <c r="BA127" s="27">
        <v>1013673</v>
      </c>
      <c r="BB127" s="27">
        <v>926424</v>
      </c>
      <c r="BC127" s="27">
        <v>2436998</v>
      </c>
      <c r="BD127" s="27">
        <f t="shared" si="139"/>
        <v>5155955</v>
      </c>
      <c r="BE127" s="29">
        <f t="shared" si="140"/>
        <v>0</v>
      </c>
      <c r="BF127" s="29">
        <f t="shared" si="141"/>
        <v>0.18830521066894232</v>
      </c>
      <c r="BG127" s="29">
        <f t="shared" si="142"/>
        <v>0.34328887124565038</v>
      </c>
      <c r="BH127" s="42">
        <f>VLOOKUP(B127,Unemployment!$A$2:$F$193,6,0)</f>
        <v>-0.70000000000000018</v>
      </c>
      <c r="BI127" s="29">
        <f>VLOOKUP(B127,Zillow!$C$11:$R$193,16,0)</f>
        <v>-2.1856786011656953E-3</v>
      </c>
      <c r="BJ127" s="5"/>
      <c r="BK127" s="6">
        <v>10</v>
      </c>
      <c r="BL127" s="6">
        <v>40</v>
      </c>
      <c r="BM127" s="6">
        <v>30</v>
      </c>
      <c r="BN127" s="6">
        <v>10</v>
      </c>
      <c r="BO127" s="6">
        <v>10</v>
      </c>
      <c r="BP127" s="5"/>
      <c r="BQ127" s="43">
        <v>0.2</v>
      </c>
      <c r="BR127" s="43">
        <v>0.02</v>
      </c>
      <c r="BS127" s="43">
        <v>2.2000000000000002</v>
      </c>
      <c r="BT127" s="44">
        <v>0.02</v>
      </c>
      <c r="BU127" s="43">
        <v>-7.0000000000000007E-2</v>
      </c>
      <c r="BV127" s="5"/>
      <c r="BW127" s="43">
        <v>0.05</v>
      </c>
      <c r="BX127" s="43">
        <v>0.32</v>
      </c>
      <c r="BY127" s="43">
        <v>0.4</v>
      </c>
      <c r="BZ127" s="44">
        <v>0</v>
      </c>
      <c r="CA127" s="43">
        <v>0.03</v>
      </c>
      <c r="CB127" s="5"/>
      <c r="CC127" s="45">
        <f t="shared" si="143"/>
        <v>-1.5000000000000003E-2</v>
      </c>
      <c r="CD127" s="45">
        <f t="shared" si="144"/>
        <v>7.4999999999999997E-3</v>
      </c>
      <c r="CE127" s="45">
        <f t="shared" si="145"/>
        <v>-6.0000000000000012E-2</v>
      </c>
      <c r="CF127" s="46">
        <f t="shared" si="146"/>
        <v>-2E-3</v>
      </c>
      <c r="CG127" s="45">
        <f t="shared" si="147"/>
        <v>0.01</v>
      </c>
      <c r="CH127" s="5"/>
      <c r="CI127" s="44">
        <f t="shared" si="148"/>
        <v>10</v>
      </c>
      <c r="CJ127" s="44">
        <f t="shared" si="149"/>
        <v>22.440694755858978</v>
      </c>
      <c r="CK127" s="44">
        <f t="shared" si="150"/>
        <v>30</v>
      </c>
      <c r="CL127" s="44">
        <f t="shared" si="151"/>
        <v>10</v>
      </c>
      <c r="CM127" s="44">
        <f t="shared" si="152"/>
        <v>6.7814321398834307</v>
      </c>
      <c r="CN127" s="47">
        <f t="shared" si="153"/>
        <v>0</v>
      </c>
      <c r="CO127" s="5"/>
      <c r="CP127" s="47">
        <f t="shared" si="154"/>
        <v>7.5000000000000023E-3</v>
      </c>
      <c r="CQ127" s="47">
        <f t="shared" si="155"/>
        <v>9.2305210668942331E-2</v>
      </c>
      <c r="CR127" s="47">
        <f t="shared" si="156"/>
        <v>1.0632888712456505</v>
      </c>
      <c r="CS127" s="47">
        <f t="shared" si="157"/>
        <v>0.70000000000000018</v>
      </c>
      <c r="CT127" s="47">
        <f t="shared" si="158"/>
        <v>5.1856786011656945E-3</v>
      </c>
      <c r="CU127" s="47">
        <f t="shared" si="159"/>
        <v>1.8682797605157588</v>
      </c>
    </row>
    <row r="128" spans="1:99" ht="15" customHeight="1">
      <c r="A128" s="5"/>
      <c r="B128" s="37" t="s">
        <v>111</v>
      </c>
      <c r="C128" s="37" t="s">
        <v>252</v>
      </c>
      <c r="D128" s="37" t="s">
        <v>255</v>
      </c>
      <c r="E128" s="26">
        <v>42551</v>
      </c>
      <c r="F128" s="38">
        <f t="shared" si="135"/>
        <v>76.259178127242834</v>
      </c>
      <c r="G128" s="4">
        <v>10461537</v>
      </c>
      <c r="H128" s="4">
        <v>353991</v>
      </c>
      <c r="I128" s="4">
        <v>30139448</v>
      </c>
      <c r="J128" s="4">
        <v>27185686</v>
      </c>
      <c r="K128" s="4">
        <v>6775392</v>
      </c>
      <c r="L128" s="4">
        <v>13023118</v>
      </c>
      <c r="M128" s="4">
        <v>2648981</v>
      </c>
      <c r="N128" s="4">
        <v>1735899</v>
      </c>
      <c r="O128" s="4">
        <v>1608181</v>
      </c>
      <c r="P128" s="4">
        <f>L128+M128+N128+O128</f>
        <v>19016179</v>
      </c>
      <c r="Q128" s="4">
        <v>16424470</v>
      </c>
      <c r="R128" s="4">
        <v>2591709</v>
      </c>
      <c r="S128" s="27">
        <v>14829653</v>
      </c>
      <c r="T128" s="27">
        <v>13371285</v>
      </c>
      <c r="U128" s="27">
        <v>18462454</v>
      </c>
      <c r="V128" s="27">
        <v>18797312</v>
      </c>
      <c r="W128" s="27">
        <v>-231696</v>
      </c>
      <c r="X128" s="27">
        <v>65549</v>
      </c>
      <c r="Y128" s="27">
        <v>153126</v>
      </c>
      <c r="Z128" s="27">
        <v>0</v>
      </c>
      <c r="AA128" s="27">
        <v>2381096</v>
      </c>
      <c r="AB128" s="27">
        <f>SUM(X128:AA128)</f>
        <v>2599771</v>
      </c>
      <c r="AC128" s="27"/>
      <c r="AD128" s="27"/>
      <c r="AE128" s="27"/>
      <c r="AF128" s="27"/>
      <c r="AG128" s="27"/>
      <c r="AH128" s="27"/>
      <c r="AI128" s="27"/>
      <c r="AJ128" s="26"/>
      <c r="AK128" s="39"/>
      <c r="AL128" s="39"/>
      <c r="AM128" s="39"/>
      <c r="AN128" s="40"/>
      <c r="AO128" s="49"/>
      <c r="AP128" s="40"/>
      <c r="AQ128" s="27">
        <v>44278</v>
      </c>
      <c r="AR128" s="27">
        <v>44278</v>
      </c>
      <c r="AS128" s="27">
        <v>0</v>
      </c>
      <c r="AT128" s="27">
        <v>47382</v>
      </c>
      <c r="AU128" s="27">
        <v>271946</v>
      </c>
      <c r="AV128" s="27">
        <v>240526</v>
      </c>
      <c r="AW128" s="27">
        <v>1601472</v>
      </c>
      <c r="AX128" s="27">
        <f t="shared" si="138"/>
        <v>2161326</v>
      </c>
      <c r="AY128" s="27">
        <v>3179028</v>
      </c>
      <c r="AZ128" s="27">
        <v>3196641</v>
      </c>
      <c r="BA128" s="27">
        <v>405986</v>
      </c>
      <c r="BB128" s="27">
        <v>272308</v>
      </c>
      <c r="BC128" s="27">
        <v>1337814</v>
      </c>
      <c r="BD128" s="27">
        <f t="shared" si="139"/>
        <v>8391777</v>
      </c>
      <c r="BE128" s="29">
        <f t="shared" si="140"/>
        <v>2.328438326122193E-3</v>
      </c>
      <c r="BF128" s="29">
        <f t="shared" si="141"/>
        <v>0.16163936375598906</v>
      </c>
      <c r="BG128" s="29">
        <f t="shared" si="142"/>
        <v>0.1286612310496236</v>
      </c>
      <c r="BH128" s="42">
        <f>VLOOKUP(B128,Unemployment!$A$2:$F$193,6,0)</f>
        <v>-0.39999999999999991</v>
      </c>
      <c r="BI128" s="29">
        <f>VLOOKUP(B128,Zillow!$C$11:$R$193,16,0)</f>
        <v>3.7392962644429446E-3</v>
      </c>
      <c r="BJ128" s="5"/>
      <c r="BK128" s="6">
        <v>10</v>
      </c>
      <c r="BL128" s="6">
        <v>40</v>
      </c>
      <c r="BM128" s="6">
        <v>30</v>
      </c>
      <c r="BN128" s="6">
        <v>10</v>
      </c>
      <c r="BO128" s="6">
        <v>10</v>
      </c>
      <c r="BP128" s="5"/>
      <c r="BQ128" s="43">
        <v>0.2</v>
      </c>
      <c r="BR128" s="43">
        <v>0.02</v>
      </c>
      <c r="BS128" s="43">
        <v>2.2000000000000002</v>
      </c>
      <c r="BT128" s="44">
        <v>0.02</v>
      </c>
      <c r="BU128" s="43">
        <v>-7.0000000000000007E-2</v>
      </c>
      <c r="BV128" s="5"/>
      <c r="BW128" s="43">
        <v>0.05</v>
      </c>
      <c r="BX128" s="43">
        <v>0.32</v>
      </c>
      <c r="BY128" s="43">
        <v>0.4</v>
      </c>
      <c r="BZ128" s="44">
        <v>0</v>
      </c>
      <c r="CA128" s="43">
        <v>0.03</v>
      </c>
      <c r="CB128" s="5"/>
      <c r="CC128" s="45">
        <f t="shared" si="143"/>
        <v>-1.5000000000000003E-2</v>
      </c>
      <c r="CD128" s="45">
        <f t="shared" si="144"/>
        <v>7.4999999999999997E-3</v>
      </c>
      <c r="CE128" s="45">
        <f t="shared" si="145"/>
        <v>-6.0000000000000012E-2</v>
      </c>
      <c r="CF128" s="46">
        <f t="shared" si="146"/>
        <v>-2E-3</v>
      </c>
      <c r="CG128" s="45">
        <f t="shared" si="147"/>
        <v>0.01</v>
      </c>
      <c r="CH128" s="5"/>
      <c r="CI128" s="44">
        <f t="shared" si="148"/>
        <v>10</v>
      </c>
      <c r="CJ128" s="44">
        <f t="shared" si="149"/>
        <v>18.885248500798543</v>
      </c>
      <c r="CK128" s="44">
        <f t="shared" si="150"/>
        <v>30</v>
      </c>
      <c r="CL128" s="44">
        <f t="shared" si="151"/>
        <v>10</v>
      </c>
      <c r="CM128" s="44">
        <f t="shared" si="152"/>
        <v>7.3739296264442951</v>
      </c>
      <c r="CN128" s="47">
        <f t="shared" si="153"/>
        <v>0</v>
      </c>
      <c r="CO128" s="5"/>
      <c r="CP128" s="47">
        <f t="shared" si="154"/>
        <v>9.8284383261221953E-3</v>
      </c>
      <c r="CQ128" s="47">
        <f t="shared" si="155"/>
        <v>6.5639363755989069E-2</v>
      </c>
      <c r="CR128" s="47">
        <f t="shared" si="156"/>
        <v>0.84866123104962377</v>
      </c>
      <c r="CS128" s="47">
        <f t="shared" si="157"/>
        <v>0.39999999999999991</v>
      </c>
      <c r="CT128" s="47">
        <f t="shared" si="158"/>
        <v>7.3929626444294494E-4</v>
      </c>
      <c r="CU128" s="47">
        <f t="shared" si="159"/>
        <v>1.3248683293961778</v>
      </c>
    </row>
    <row r="129" spans="1:99" ht="15" customHeight="1">
      <c r="A129" s="5"/>
      <c r="B129" s="37" t="s">
        <v>76</v>
      </c>
      <c r="C129" s="37" t="s">
        <v>252</v>
      </c>
      <c r="D129" s="37" t="s">
        <v>255</v>
      </c>
      <c r="E129" s="26">
        <v>42551</v>
      </c>
      <c r="F129" s="38">
        <f t="shared" si="135"/>
        <v>71.58405981021312</v>
      </c>
      <c r="G129" s="4">
        <v>1563426</v>
      </c>
      <c r="H129" s="4">
        <v>3246992</v>
      </c>
      <c r="I129" s="4">
        <v>16247059</v>
      </c>
      <c r="J129" s="4">
        <v>13000067</v>
      </c>
      <c r="K129" s="4">
        <v>829621</v>
      </c>
      <c r="L129" s="4">
        <v>4213543</v>
      </c>
      <c r="M129" s="4">
        <v>0</v>
      </c>
      <c r="N129" s="4">
        <v>93122</v>
      </c>
      <c r="O129" s="4">
        <v>2190613</v>
      </c>
      <c r="P129" s="4">
        <f>L129+M129+N129+O129</f>
        <v>6497278</v>
      </c>
      <c r="Q129" s="4">
        <v>6463169</v>
      </c>
      <c r="R129" s="4">
        <v>34109</v>
      </c>
      <c r="S129" s="27">
        <v>6047374</v>
      </c>
      <c r="T129" s="27">
        <v>6207941</v>
      </c>
      <c r="U129" s="27">
        <v>6499100</v>
      </c>
      <c r="V129" s="27">
        <v>6754958</v>
      </c>
      <c r="W129" s="27">
        <v>-93487</v>
      </c>
      <c r="X129" s="27">
        <v>236138</v>
      </c>
      <c r="Y129" s="27">
        <v>0</v>
      </c>
      <c r="Z129" s="27">
        <v>136195</v>
      </c>
      <c r="AA129" s="27">
        <v>2243621</v>
      </c>
      <c r="AB129" s="27">
        <f>SUM(X129:AA129)</f>
        <v>2615954</v>
      </c>
      <c r="AC129" s="27">
        <v>136195</v>
      </c>
      <c r="AD129" s="27">
        <v>0</v>
      </c>
      <c r="AE129" s="27">
        <f>AC129+AD129</f>
        <v>136195</v>
      </c>
      <c r="AF129" s="27">
        <v>0</v>
      </c>
      <c r="AG129" s="27">
        <v>24126</v>
      </c>
      <c r="AH129" s="27">
        <v>20778</v>
      </c>
      <c r="AI129" s="27">
        <v>13243</v>
      </c>
      <c r="AJ129" s="26">
        <v>42551</v>
      </c>
      <c r="AK129" s="39">
        <v>0</v>
      </c>
      <c r="AL129" s="39">
        <v>169891</v>
      </c>
      <c r="AM129" s="39">
        <v>169891</v>
      </c>
      <c r="AN129" s="40">
        <v>0</v>
      </c>
      <c r="AO129" s="40">
        <v>3.0000000000000001E-3</v>
      </c>
      <c r="AP129" s="40"/>
      <c r="AQ129" s="27"/>
      <c r="AR129" s="27"/>
      <c r="AS129" s="27">
        <v>0</v>
      </c>
      <c r="AT129" s="27">
        <v>0</v>
      </c>
      <c r="AU129" s="27">
        <v>0</v>
      </c>
      <c r="AV129" s="27">
        <v>13282</v>
      </c>
      <c r="AW129" s="27">
        <v>652261</v>
      </c>
      <c r="AX129" s="27">
        <f t="shared" si="138"/>
        <v>665543</v>
      </c>
      <c r="AY129" s="27">
        <v>173312</v>
      </c>
      <c r="AZ129" s="27">
        <v>11130</v>
      </c>
      <c r="BA129" s="27">
        <v>122651</v>
      </c>
      <c r="BB129" s="27">
        <v>38726</v>
      </c>
      <c r="BC129" s="27">
        <v>652147</v>
      </c>
      <c r="BD129" s="27">
        <f t="shared" si="139"/>
        <v>997966</v>
      </c>
      <c r="BE129" s="29">
        <f t="shared" si="140"/>
        <v>0</v>
      </c>
      <c r="BF129" s="29">
        <f t="shared" si="141"/>
        <v>0.10720833203794945</v>
      </c>
      <c r="BG129" s="29">
        <f t="shared" si="142"/>
        <v>0.40262306769080836</v>
      </c>
      <c r="BH129" s="42">
        <f>VLOOKUP(B129,Unemployment!$A$2:$F$193,6,0)</f>
        <v>-0.60000000000000053</v>
      </c>
      <c r="BI129" s="52">
        <f>VLOOKUP(VLOOKUP(B129,Counties!$A$20:$E$189,2,0),Zillow!$C$3:$R$10,16,0)</f>
        <v>3.6528572814592028E-2</v>
      </c>
      <c r="BJ129" s="5"/>
      <c r="BK129" s="6">
        <v>10</v>
      </c>
      <c r="BL129" s="6">
        <v>40</v>
      </c>
      <c r="BM129" s="6">
        <v>30</v>
      </c>
      <c r="BN129" s="6">
        <v>10</v>
      </c>
      <c r="BO129" s="6">
        <v>10</v>
      </c>
      <c r="BP129" s="5"/>
      <c r="BQ129" s="43">
        <v>0.2</v>
      </c>
      <c r="BR129" s="43">
        <v>0.02</v>
      </c>
      <c r="BS129" s="43">
        <v>2.2000000000000002</v>
      </c>
      <c r="BT129" s="44">
        <v>0.02</v>
      </c>
      <c r="BU129" s="43">
        <v>-7.0000000000000007E-2</v>
      </c>
      <c r="BV129" s="5"/>
      <c r="BW129" s="43">
        <v>0.05</v>
      </c>
      <c r="BX129" s="43">
        <v>0.32</v>
      </c>
      <c r="BY129" s="43">
        <v>0.4</v>
      </c>
      <c r="BZ129" s="44">
        <v>0</v>
      </c>
      <c r="CA129" s="43">
        <v>0.03</v>
      </c>
      <c r="CB129" s="5"/>
      <c r="CC129" s="45">
        <f t="shared" si="143"/>
        <v>-1.5000000000000003E-2</v>
      </c>
      <c r="CD129" s="45">
        <f t="shared" si="144"/>
        <v>7.4999999999999997E-3</v>
      </c>
      <c r="CE129" s="45">
        <f t="shared" si="145"/>
        <v>-6.0000000000000012E-2</v>
      </c>
      <c r="CF129" s="46">
        <f t="shared" si="146"/>
        <v>-2E-3</v>
      </c>
      <c r="CG129" s="45">
        <f t="shared" si="147"/>
        <v>0.01</v>
      </c>
      <c r="CH129" s="5"/>
      <c r="CI129" s="44">
        <f t="shared" si="148"/>
        <v>10</v>
      </c>
      <c r="CJ129" s="44">
        <f t="shared" si="149"/>
        <v>11.627777605059928</v>
      </c>
      <c r="CK129" s="44">
        <f t="shared" si="150"/>
        <v>29.956282205153194</v>
      </c>
      <c r="CL129" s="44">
        <f t="shared" si="151"/>
        <v>10</v>
      </c>
      <c r="CM129" s="44">
        <f t="shared" si="152"/>
        <v>10</v>
      </c>
      <c r="CN129" s="47">
        <f t="shared" si="153"/>
        <v>0</v>
      </c>
      <c r="CO129" s="5"/>
      <c r="CP129" s="47">
        <f t="shared" si="154"/>
        <v>7.5000000000000023E-3</v>
      </c>
      <c r="CQ129" s="47">
        <f t="shared" si="155"/>
        <v>1.1208332037949464E-2</v>
      </c>
      <c r="CR129" s="47">
        <f t="shared" si="156"/>
        <v>1.1226230676908084</v>
      </c>
      <c r="CS129" s="47">
        <f t="shared" si="157"/>
        <v>0.60000000000000053</v>
      </c>
      <c r="CT129" s="47">
        <f t="shared" si="158"/>
        <v>3.3528572814592025E-2</v>
      </c>
      <c r="CU129" s="47">
        <f t="shared" si="159"/>
        <v>1.7748599725433505</v>
      </c>
    </row>
    <row r="130" spans="1:99" ht="15" customHeight="1">
      <c r="A130" s="5"/>
      <c r="B130" s="37" t="s">
        <v>24</v>
      </c>
      <c r="C130" s="37" t="s">
        <v>252</v>
      </c>
      <c r="D130" s="37" t="s">
        <v>255</v>
      </c>
      <c r="E130" s="26">
        <v>42551</v>
      </c>
      <c r="F130" s="38">
        <f t="shared" si="135"/>
        <v>61.982731569418277</v>
      </c>
      <c r="G130" s="4">
        <v>18700889</v>
      </c>
      <c r="H130" s="4">
        <v>5011535</v>
      </c>
      <c r="I130" s="4">
        <v>118691526</v>
      </c>
      <c r="J130" s="4">
        <v>59029906</v>
      </c>
      <c r="K130" s="4">
        <v>5586312</v>
      </c>
      <c r="L130" s="4">
        <v>43259612</v>
      </c>
      <c r="M130" s="4">
        <v>2027554</v>
      </c>
      <c r="N130" s="4">
        <v>3891995</v>
      </c>
      <c r="O130" s="4">
        <v>17377646</v>
      </c>
      <c r="P130" s="4">
        <f>L130+M130+N130+O130</f>
        <v>66556807</v>
      </c>
      <c r="Q130" s="4">
        <v>69037611</v>
      </c>
      <c r="R130" s="4">
        <v>-2480804</v>
      </c>
      <c r="S130" s="27">
        <v>59765806</v>
      </c>
      <c r="T130" s="27">
        <v>58766471</v>
      </c>
      <c r="U130" s="27">
        <v>66690518</v>
      </c>
      <c r="V130" s="27">
        <v>70564398</v>
      </c>
      <c r="W130" s="27">
        <v>-1550944</v>
      </c>
      <c r="X130" s="27">
        <v>4682957</v>
      </c>
      <c r="Y130" s="27">
        <v>2050425</v>
      </c>
      <c r="Z130" s="27">
        <v>11540477</v>
      </c>
      <c r="AA130" s="27">
        <v>38792174</v>
      </c>
      <c r="AB130" s="27">
        <f>SUM(X130:AA130)</f>
        <v>57066033</v>
      </c>
      <c r="AC130" s="27">
        <v>11540477</v>
      </c>
      <c r="AD130" s="27">
        <v>0</v>
      </c>
      <c r="AE130" s="27">
        <f>AC130+AD130</f>
        <v>11540477</v>
      </c>
      <c r="AF130" s="27">
        <v>0</v>
      </c>
      <c r="AG130" s="27">
        <v>3143092</v>
      </c>
      <c r="AH130" s="27">
        <v>3091430</v>
      </c>
      <c r="AI130" s="27">
        <v>1452879</v>
      </c>
      <c r="AJ130" s="26">
        <v>42186</v>
      </c>
      <c r="AK130" s="39">
        <v>0</v>
      </c>
      <c r="AL130" s="39">
        <v>36935842</v>
      </c>
      <c r="AM130" s="39">
        <v>36935842</v>
      </c>
      <c r="AN130" s="40">
        <v>0</v>
      </c>
      <c r="AO130" s="40">
        <v>0.04</v>
      </c>
      <c r="AP130" s="40">
        <v>2.75E-2</v>
      </c>
      <c r="AQ130" s="27">
        <v>1750607</v>
      </c>
      <c r="AR130" s="27">
        <v>1750607</v>
      </c>
      <c r="AS130" s="27">
        <v>0</v>
      </c>
      <c r="AT130" s="27">
        <v>0</v>
      </c>
      <c r="AU130" s="27">
        <v>0</v>
      </c>
      <c r="AV130" s="27">
        <v>953421</v>
      </c>
      <c r="AW130" s="27">
        <v>5116694</v>
      </c>
      <c r="AX130" s="27">
        <f t="shared" si="138"/>
        <v>6070115</v>
      </c>
      <c r="AY130" s="27">
        <v>14188</v>
      </c>
      <c r="AZ130" s="27">
        <v>1694147</v>
      </c>
      <c r="BA130" s="27">
        <v>833918</v>
      </c>
      <c r="BB130" s="27">
        <v>953421</v>
      </c>
      <c r="BC130" s="27">
        <v>3506448</v>
      </c>
      <c r="BD130" s="27">
        <f t="shared" si="139"/>
        <v>7002122</v>
      </c>
      <c r="BE130" s="29">
        <f t="shared" si="140"/>
        <v>2.6302448673657077E-2</v>
      </c>
      <c r="BF130" s="29">
        <f t="shared" si="141"/>
        <v>0.10329214766018535</v>
      </c>
      <c r="BG130" s="29">
        <f t="shared" si="142"/>
        <v>0.82659626385021745</v>
      </c>
      <c r="BH130" s="42">
        <f>VLOOKUP(B130,Unemployment!$A$2:$F$193,6,0)</f>
        <v>-0.59999999999999964</v>
      </c>
      <c r="BI130" s="29">
        <f>VLOOKUP(B130,Zillow!$C$11:$R$193,16,0)</f>
        <v>9.870496122305181E-3</v>
      </c>
      <c r="BJ130" s="5"/>
      <c r="BK130" s="6">
        <v>10</v>
      </c>
      <c r="BL130" s="6">
        <v>40</v>
      </c>
      <c r="BM130" s="6">
        <v>30</v>
      </c>
      <c r="BN130" s="6">
        <v>10</v>
      </c>
      <c r="BO130" s="6">
        <v>10</v>
      </c>
      <c r="BP130" s="5"/>
      <c r="BQ130" s="43">
        <v>0.2</v>
      </c>
      <c r="BR130" s="43">
        <v>0.02</v>
      </c>
      <c r="BS130" s="43">
        <v>2.2000000000000002</v>
      </c>
      <c r="BT130" s="44">
        <v>0.02</v>
      </c>
      <c r="BU130" s="43">
        <v>-7.0000000000000007E-2</v>
      </c>
      <c r="BV130" s="5"/>
      <c r="BW130" s="43">
        <v>0.05</v>
      </c>
      <c r="BX130" s="43">
        <v>0.32</v>
      </c>
      <c r="BY130" s="43">
        <v>0.4</v>
      </c>
      <c r="BZ130" s="44">
        <v>0</v>
      </c>
      <c r="CA130" s="43">
        <v>0.03</v>
      </c>
      <c r="CB130" s="5"/>
      <c r="CC130" s="45">
        <f t="shared" si="143"/>
        <v>-1.5000000000000003E-2</v>
      </c>
      <c r="CD130" s="45">
        <f t="shared" si="144"/>
        <v>7.4999999999999997E-3</v>
      </c>
      <c r="CE130" s="45">
        <f t="shared" si="145"/>
        <v>-6.0000000000000012E-2</v>
      </c>
      <c r="CF130" s="46">
        <f t="shared" si="146"/>
        <v>-2E-3</v>
      </c>
      <c r="CG130" s="45">
        <f t="shared" si="147"/>
        <v>0.01</v>
      </c>
      <c r="CH130" s="5"/>
      <c r="CI130" s="44">
        <f t="shared" si="148"/>
        <v>10</v>
      </c>
      <c r="CJ130" s="44">
        <f t="shared" si="149"/>
        <v>11.105619688024714</v>
      </c>
      <c r="CK130" s="44">
        <f t="shared" si="150"/>
        <v>22.890062269163039</v>
      </c>
      <c r="CL130" s="44">
        <f t="shared" si="151"/>
        <v>10</v>
      </c>
      <c r="CM130" s="44">
        <f t="shared" si="152"/>
        <v>7.9870496122305195</v>
      </c>
      <c r="CN130" s="47">
        <f t="shared" si="153"/>
        <v>0</v>
      </c>
      <c r="CO130" s="5"/>
      <c r="CP130" s="47">
        <f t="shared" si="154"/>
        <v>3.380244867365708E-2</v>
      </c>
      <c r="CQ130" s="47">
        <f t="shared" si="155"/>
        <v>7.2921476601853635E-3</v>
      </c>
      <c r="CR130" s="47">
        <f t="shared" si="156"/>
        <v>1.5465962638502178</v>
      </c>
      <c r="CS130" s="47">
        <f t="shared" si="157"/>
        <v>0.59999999999999964</v>
      </c>
      <c r="CT130" s="47">
        <f t="shared" si="158"/>
        <v>6.8704961223051818E-3</v>
      </c>
      <c r="CU130" s="47">
        <f t="shared" si="159"/>
        <v>2.1945613563063651</v>
      </c>
    </row>
    <row r="131" spans="1:99" ht="15" customHeight="1">
      <c r="A131" s="5"/>
      <c r="B131" s="37" t="s">
        <v>142</v>
      </c>
      <c r="C131" s="37" t="s">
        <v>252</v>
      </c>
      <c r="D131" s="37" t="s">
        <v>255</v>
      </c>
      <c r="E131" s="26">
        <v>42551</v>
      </c>
      <c r="F131" s="38">
        <f t="shared" si="135"/>
        <v>82.02019274475947</v>
      </c>
      <c r="G131" s="4">
        <v>5235939</v>
      </c>
      <c r="H131" s="4">
        <v>235199</v>
      </c>
      <c r="I131" s="4">
        <v>22364803</v>
      </c>
      <c r="J131" s="4">
        <v>15392308</v>
      </c>
      <c r="K131" s="4">
        <v>5116599</v>
      </c>
      <c r="L131" s="4">
        <v>9852961</v>
      </c>
      <c r="M131" s="4">
        <v>115000</v>
      </c>
      <c r="N131" s="4">
        <v>894288</v>
      </c>
      <c r="O131" s="4">
        <v>993027</v>
      </c>
      <c r="P131" s="4">
        <f>L131+M131+N131+O131</f>
        <v>11855276</v>
      </c>
      <c r="Q131" s="4">
        <v>11809791</v>
      </c>
      <c r="R131" s="4">
        <v>45485</v>
      </c>
      <c r="S131" s="27">
        <v>11008037</v>
      </c>
      <c r="T131" s="27">
        <v>10931833</v>
      </c>
      <c r="U131" s="27">
        <v>11681255</v>
      </c>
      <c r="V131" s="27">
        <v>12006137</v>
      </c>
      <c r="W131" s="27">
        <v>-92882</v>
      </c>
      <c r="X131" s="27">
        <v>728715</v>
      </c>
      <c r="Y131" s="27"/>
      <c r="Z131" s="27"/>
      <c r="AA131" s="27">
        <v>5990359</v>
      </c>
      <c r="AB131" s="27">
        <f>SUM(X131:AA131)</f>
        <v>6719074</v>
      </c>
      <c r="AC131" s="27"/>
      <c r="AD131" s="27"/>
      <c r="AE131" s="27"/>
      <c r="AF131" s="27"/>
      <c r="AG131" s="27"/>
      <c r="AH131" s="27"/>
      <c r="AI131" s="27"/>
      <c r="AJ131" s="26"/>
      <c r="AK131" s="39"/>
      <c r="AL131" s="39"/>
      <c r="AM131" s="39"/>
      <c r="AN131" s="40"/>
      <c r="AO131" s="49"/>
      <c r="AP131" s="40"/>
      <c r="AQ131" s="27"/>
      <c r="AR131" s="27"/>
      <c r="AS131" s="27">
        <v>0</v>
      </c>
      <c r="AT131" s="27">
        <v>0</v>
      </c>
      <c r="AU131" s="27">
        <v>330129</v>
      </c>
      <c r="AV131" s="27">
        <v>0</v>
      </c>
      <c r="AW131" s="27">
        <v>1993441</v>
      </c>
      <c r="AX131" s="27">
        <f t="shared" si="138"/>
        <v>2323570</v>
      </c>
      <c r="AY131" s="27">
        <v>1005</v>
      </c>
      <c r="AZ131" s="27">
        <v>221646</v>
      </c>
      <c r="BA131" s="27">
        <v>1613547</v>
      </c>
      <c r="BB131" s="27">
        <v>0</v>
      </c>
      <c r="BC131" s="27">
        <v>1993441</v>
      </c>
      <c r="BD131" s="27">
        <f t="shared" si="139"/>
        <v>3829639</v>
      </c>
      <c r="BE131" s="29">
        <f t="shared" si="140"/>
        <v>0</v>
      </c>
      <c r="BF131" s="29">
        <f t="shared" si="141"/>
        <v>0.2125508137564853</v>
      </c>
      <c r="BG131" s="29">
        <f t="shared" si="142"/>
        <v>0.56675812524314073</v>
      </c>
      <c r="BH131" s="42">
        <f>VLOOKUP(B131,Unemployment!$A$2:$F$193,6,0)</f>
        <v>-0.29999999999999982</v>
      </c>
      <c r="BI131" s="29">
        <f>VLOOKUP(B131,Zillow!$C$11:$R$193,16,0)</f>
        <v>2.1260529979471074E-2</v>
      </c>
      <c r="BJ131" s="5"/>
      <c r="BK131" s="6">
        <v>10</v>
      </c>
      <c r="BL131" s="6">
        <v>40</v>
      </c>
      <c r="BM131" s="6">
        <v>30</v>
      </c>
      <c r="BN131" s="6">
        <v>10</v>
      </c>
      <c r="BO131" s="6">
        <v>10</v>
      </c>
      <c r="BP131" s="5"/>
      <c r="BQ131" s="43">
        <v>0.2</v>
      </c>
      <c r="BR131" s="43">
        <v>0.02</v>
      </c>
      <c r="BS131" s="43">
        <v>2.2000000000000002</v>
      </c>
      <c r="BT131" s="44">
        <v>0.02</v>
      </c>
      <c r="BU131" s="43">
        <v>-7.0000000000000007E-2</v>
      </c>
      <c r="BV131" s="5"/>
      <c r="BW131" s="43">
        <v>0.05</v>
      </c>
      <c r="BX131" s="43">
        <v>0.32</v>
      </c>
      <c r="BY131" s="43">
        <v>0.4</v>
      </c>
      <c r="BZ131" s="44">
        <v>0</v>
      </c>
      <c r="CA131" s="43">
        <v>0.03</v>
      </c>
      <c r="CB131" s="5"/>
      <c r="CC131" s="45">
        <f t="shared" si="143"/>
        <v>-1.5000000000000003E-2</v>
      </c>
      <c r="CD131" s="45">
        <f t="shared" si="144"/>
        <v>7.4999999999999997E-3</v>
      </c>
      <c r="CE131" s="45">
        <f t="shared" si="145"/>
        <v>-6.0000000000000012E-2</v>
      </c>
      <c r="CF131" s="46">
        <f t="shared" si="146"/>
        <v>-2E-3</v>
      </c>
      <c r="CG131" s="45">
        <f t="shared" si="147"/>
        <v>0.01</v>
      </c>
      <c r="CH131" s="5"/>
      <c r="CI131" s="44">
        <f t="shared" si="148"/>
        <v>10</v>
      </c>
      <c r="CJ131" s="44">
        <f t="shared" si="149"/>
        <v>25.673441834198041</v>
      </c>
      <c r="CK131" s="44">
        <f t="shared" si="150"/>
        <v>27.220697912614316</v>
      </c>
      <c r="CL131" s="44">
        <f t="shared" si="151"/>
        <v>10</v>
      </c>
      <c r="CM131" s="44">
        <f t="shared" si="152"/>
        <v>9.1260529979471077</v>
      </c>
      <c r="CN131" s="47">
        <f t="shared" si="153"/>
        <v>0</v>
      </c>
      <c r="CO131" s="5"/>
      <c r="CP131" s="47">
        <f t="shared" si="154"/>
        <v>7.5000000000000023E-3</v>
      </c>
      <c r="CQ131" s="47">
        <f t="shared" si="155"/>
        <v>0.11655081375648531</v>
      </c>
      <c r="CR131" s="47">
        <f t="shared" si="156"/>
        <v>1.286758125243141</v>
      </c>
      <c r="CS131" s="47">
        <f t="shared" si="157"/>
        <v>0.29999999999999982</v>
      </c>
      <c r="CT131" s="47">
        <f t="shared" si="158"/>
        <v>1.8260529979471075E-2</v>
      </c>
      <c r="CU131" s="47">
        <f t="shared" si="159"/>
        <v>1.7290694689790973</v>
      </c>
    </row>
    <row r="132" spans="1:99" ht="15" customHeight="1">
      <c r="A132" s="5"/>
      <c r="B132" s="37" t="s">
        <v>44</v>
      </c>
      <c r="C132" s="37" t="s">
        <v>252</v>
      </c>
      <c r="D132" s="37" t="s">
        <v>258</v>
      </c>
      <c r="E132" s="26">
        <v>42551</v>
      </c>
      <c r="F132" s="38">
        <f t="shared" si="135"/>
        <v>66.094133201688294</v>
      </c>
      <c r="G132" s="4">
        <f>272456275-173166564-85713757</f>
        <v>13575954</v>
      </c>
      <c r="H132" s="4">
        <f>76146573-53278011-12432654</f>
        <v>10435908</v>
      </c>
      <c r="I132" s="4">
        <v>272456275</v>
      </c>
      <c r="J132" s="4">
        <v>195147922</v>
      </c>
      <c r="K132" s="4">
        <v>-3176703</v>
      </c>
      <c r="L132" s="4">
        <f>102572599+1548866+32962</f>
        <v>104154427</v>
      </c>
      <c r="M132" s="4">
        <v>389401</v>
      </c>
      <c r="N132" s="4">
        <v>8724023</v>
      </c>
      <c r="O132" s="4">
        <v>18247629</v>
      </c>
      <c r="P132" s="4">
        <f>SUM(L132:O132)</f>
        <v>131515480</v>
      </c>
      <c r="Q132" s="4">
        <v>134343519</v>
      </c>
      <c r="R132" s="4">
        <f>P132-Q132</f>
        <v>-2828039</v>
      </c>
      <c r="S132" s="27">
        <v>122379640</v>
      </c>
      <c r="T132" s="27">
        <v>125838479</v>
      </c>
      <c r="U132" s="27">
        <v>128978753</v>
      </c>
      <c r="V132" s="27">
        <v>137604529</v>
      </c>
      <c r="W132" s="27">
        <v>-4609858</v>
      </c>
      <c r="X132" s="27">
        <v>12432654</v>
      </c>
      <c r="Y132" s="27">
        <v>1975001</v>
      </c>
      <c r="Z132" s="27">
        <v>0</v>
      </c>
      <c r="AA132" s="27">
        <f>65710665-X132-Y132</f>
        <v>51303010</v>
      </c>
      <c r="AB132" s="27">
        <f>X132+Y132+Z132+AA132</f>
        <v>65710665</v>
      </c>
      <c r="AC132" s="27"/>
      <c r="AD132" s="27"/>
      <c r="AE132" s="27"/>
      <c r="AF132" s="27"/>
      <c r="AG132" s="27"/>
      <c r="AH132" s="27"/>
      <c r="AI132" s="27"/>
      <c r="AJ132" s="26"/>
      <c r="AK132" s="39"/>
      <c r="AL132" s="39"/>
      <c r="AM132" s="39"/>
      <c r="AN132" s="40"/>
      <c r="AO132" s="40"/>
      <c r="AP132" s="40"/>
      <c r="AQ132" s="27">
        <v>790450</v>
      </c>
      <c r="AR132" s="27">
        <v>790450</v>
      </c>
      <c r="AS132" s="27">
        <v>63293</v>
      </c>
      <c r="AT132" s="27">
        <v>0</v>
      </c>
      <c r="AU132" s="27">
        <f t="shared" ref="AU132:BA132" si="160">4893096+2426154</f>
        <v>7319250</v>
      </c>
      <c r="AV132" s="27">
        <v>362000</v>
      </c>
      <c r="AW132" s="27">
        <v>4973401</v>
      </c>
      <c r="AX132" s="27">
        <f t="shared" si="138"/>
        <v>12717944</v>
      </c>
      <c r="AY132" s="27">
        <v>63293</v>
      </c>
      <c r="AZ132" s="27">
        <f>45980+266962</f>
        <v>312942</v>
      </c>
      <c r="BA132" s="27">
        <f t="shared" si="160"/>
        <v>7319250</v>
      </c>
      <c r="BB132" s="27">
        <v>3158467</v>
      </c>
      <c r="BC132" s="27">
        <v>-5313782</v>
      </c>
      <c r="BD132" s="27">
        <f t="shared" si="139"/>
        <v>5540170</v>
      </c>
      <c r="BE132" s="29">
        <f t="shared" si="140"/>
        <v>6.010319089433426E-3</v>
      </c>
      <c r="BF132" s="29">
        <f t="shared" si="141"/>
        <v>0.10106562079473322</v>
      </c>
      <c r="BG132" s="29">
        <f t="shared" si="142"/>
        <v>0.48462480614449344</v>
      </c>
      <c r="BH132" s="42">
        <f>VLOOKUP(B132,Unemployment!$A$2:$F$193,6,0)</f>
        <v>-0.59999999999999964</v>
      </c>
      <c r="BI132" s="29">
        <f>VLOOKUP(B132,Zillow!$C$11:$R$193,16,0)</f>
        <v>-3.042028018679119E-3</v>
      </c>
      <c r="BJ132" s="5"/>
      <c r="BK132" s="6">
        <v>10</v>
      </c>
      <c r="BL132" s="6">
        <v>40</v>
      </c>
      <c r="BM132" s="6">
        <v>30</v>
      </c>
      <c r="BN132" s="6">
        <v>10</v>
      </c>
      <c r="BO132" s="6">
        <v>10</v>
      </c>
      <c r="BP132" s="5"/>
      <c r="BQ132" s="43">
        <v>0.2</v>
      </c>
      <c r="BR132" s="43">
        <v>0.02</v>
      </c>
      <c r="BS132" s="43">
        <v>2.2000000000000002</v>
      </c>
      <c r="BT132" s="44">
        <v>0.02</v>
      </c>
      <c r="BU132" s="43">
        <v>-7.0000000000000007E-2</v>
      </c>
      <c r="BV132" s="5"/>
      <c r="BW132" s="43">
        <v>0.05</v>
      </c>
      <c r="BX132" s="43">
        <v>0.32</v>
      </c>
      <c r="BY132" s="43">
        <v>0.4</v>
      </c>
      <c r="BZ132" s="44">
        <v>0</v>
      </c>
      <c r="CA132" s="43">
        <v>0.03</v>
      </c>
      <c r="CB132" s="5"/>
      <c r="CC132" s="45">
        <f t="shared" si="143"/>
        <v>-1.5000000000000003E-2</v>
      </c>
      <c r="CD132" s="45">
        <f t="shared" si="144"/>
        <v>7.4999999999999997E-3</v>
      </c>
      <c r="CE132" s="45">
        <f t="shared" si="145"/>
        <v>-6.0000000000000012E-2</v>
      </c>
      <c r="CF132" s="46">
        <f t="shared" si="146"/>
        <v>-2E-3</v>
      </c>
      <c r="CG132" s="45">
        <f t="shared" si="147"/>
        <v>0.01</v>
      </c>
      <c r="CH132" s="5"/>
      <c r="CI132" s="44">
        <f t="shared" si="148"/>
        <v>10</v>
      </c>
      <c r="CJ132" s="44">
        <f t="shared" si="149"/>
        <v>10.808749439297763</v>
      </c>
      <c r="CK132" s="44">
        <f t="shared" si="150"/>
        <v>28.58958656425844</v>
      </c>
      <c r="CL132" s="44">
        <f t="shared" si="151"/>
        <v>10</v>
      </c>
      <c r="CM132" s="44">
        <f t="shared" si="152"/>
        <v>6.6957971981320892</v>
      </c>
      <c r="CN132" s="47">
        <f t="shared" si="153"/>
        <v>0</v>
      </c>
      <c r="CO132" s="5"/>
      <c r="CP132" s="47">
        <f t="shared" si="154"/>
        <v>1.3510319089433429E-2</v>
      </c>
      <c r="CQ132" s="47">
        <f t="shared" si="155"/>
        <v>5.0656207947332305E-3</v>
      </c>
      <c r="CR132" s="47">
        <f t="shared" si="156"/>
        <v>1.2046248061444937</v>
      </c>
      <c r="CS132" s="47">
        <f t="shared" si="157"/>
        <v>0.59999999999999964</v>
      </c>
      <c r="CT132" s="47">
        <f t="shared" si="158"/>
        <v>6.0420280186791187E-3</v>
      </c>
      <c r="CU132" s="47">
        <f t="shared" si="159"/>
        <v>1.8292427740473391</v>
      </c>
    </row>
    <row r="133" spans="1:99" ht="15" customHeight="1">
      <c r="A133" s="5"/>
      <c r="B133" s="37" t="s">
        <v>95</v>
      </c>
      <c r="C133" s="37" t="s">
        <v>252</v>
      </c>
      <c r="D133" s="37" t="s">
        <v>255</v>
      </c>
      <c r="E133" s="26">
        <v>42551</v>
      </c>
      <c r="F133" s="38">
        <f t="shared" si="135"/>
        <v>74.707308360346872</v>
      </c>
      <c r="G133" s="4">
        <v>3927048</v>
      </c>
      <c r="H133" s="4">
        <v>180350</v>
      </c>
      <c r="I133" s="4">
        <v>25431275</v>
      </c>
      <c r="J133" s="4">
        <v>17583201</v>
      </c>
      <c r="K133" s="4">
        <v>3656703</v>
      </c>
      <c r="L133" s="4">
        <v>13831519</v>
      </c>
      <c r="M133" s="4">
        <v>15375</v>
      </c>
      <c r="N133" s="4">
        <v>386241</v>
      </c>
      <c r="O133" s="4">
        <v>1357920</v>
      </c>
      <c r="P133" s="4">
        <f t="shared" ref="P133:P139" si="161">L133+M133+N133+O133</f>
        <v>15591055</v>
      </c>
      <c r="Q133" s="4">
        <v>14613596</v>
      </c>
      <c r="R133" s="4">
        <v>977459</v>
      </c>
      <c r="S133" s="27">
        <v>15269632</v>
      </c>
      <c r="T133" s="27">
        <v>13897046</v>
      </c>
      <c r="U133" s="27">
        <v>15622547</v>
      </c>
      <c r="V133" s="27">
        <v>15070589</v>
      </c>
      <c r="W133" s="27">
        <v>301030</v>
      </c>
      <c r="X133" s="27">
        <v>837400</v>
      </c>
      <c r="Y133" s="27">
        <v>0</v>
      </c>
      <c r="Z133" s="27">
        <v>0</v>
      </c>
      <c r="AA133" s="27">
        <v>6830324</v>
      </c>
      <c r="AB133" s="27">
        <f t="shared" ref="AB133:AB139" si="162">SUM(X133:AA133)</f>
        <v>7667724</v>
      </c>
      <c r="AC133" s="27"/>
      <c r="AD133" s="27"/>
      <c r="AE133" s="27"/>
      <c r="AF133" s="27"/>
      <c r="AG133" s="27"/>
      <c r="AH133" s="27"/>
      <c r="AI133" s="27"/>
      <c r="AJ133" s="26"/>
      <c r="AK133" s="39"/>
      <c r="AL133" s="39"/>
      <c r="AM133" s="39"/>
      <c r="AN133" s="40"/>
      <c r="AO133" s="49"/>
      <c r="AP133" s="40"/>
      <c r="AQ133" s="27">
        <v>18716</v>
      </c>
      <c r="AR133" s="27">
        <v>67000</v>
      </c>
      <c r="AS133" s="27">
        <v>0</v>
      </c>
      <c r="AT133" s="27">
        <v>10750</v>
      </c>
      <c r="AU133" s="27">
        <v>0</v>
      </c>
      <c r="AV133" s="27">
        <v>0</v>
      </c>
      <c r="AW133" s="27">
        <v>2216499</v>
      </c>
      <c r="AX133" s="27">
        <f t="shared" si="138"/>
        <v>2227249</v>
      </c>
      <c r="AY133" s="27">
        <v>61000</v>
      </c>
      <c r="AZ133" s="27">
        <v>729408</v>
      </c>
      <c r="BA133" s="27">
        <v>0</v>
      </c>
      <c r="BB133" s="27">
        <v>759929</v>
      </c>
      <c r="BC133" s="27">
        <v>2216499</v>
      </c>
      <c r="BD133" s="27">
        <f t="shared" si="139"/>
        <v>3766836</v>
      </c>
      <c r="BE133" s="29">
        <f t="shared" si="140"/>
        <v>1.2004319143252332E-3</v>
      </c>
      <c r="BF133" s="29">
        <f t="shared" si="141"/>
        <v>0.1602678007973781</v>
      </c>
      <c r="BG133" s="29">
        <f t="shared" si="142"/>
        <v>0.49180276767672232</v>
      </c>
      <c r="BH133" s="42">
        <f>VLOOKUP(B133,Unemployment!$A$2:$F$193,6,0)</f>
        <v>-9.9999999999999645E-2</v>
      </c>
      <c r="BI133" s="29">
        <f>VLOOKUP(B133,Zillow!$C$11:$R$193,16,0)</f>
        <v>5.3498104864182858E-3</v>
      </c>
      <c r="BJ133" s="5"/>
      <c r="BK133" s="6">
        <v>10</v>
      </c>
      <c r="BL133" s="6">
        <v>40</v>
      </c>
      <c r="BM133" s="6">
        <v>30</v>
      </c>
      <c r="BN133" s="6">
        <v>10</v>
      </c>
      <c r="BO133" s="6">
        <v>10</v>
      </c>
      <c r="BP133" s="5"/>
      <c r="BQ133" s="43">
        <v>0.2</v>
      </c>
      <c r="BR133" s="43">
        <v>0.02</v>
      </c>
      <c r="BS133" s="43">
        <v>2.2000000000000002</v>
      </c>
      <c r="BT133" s="44">
        <v>0.02</v>
      </c>
      <c r="BU133" s="43">
        <v>-7.0000000000000007E-2</v>
      </c>
      <c r="BV133" s="5"/>
      <c r="BW133" s="43">
        <v>0.05</v>
      </c>
      <c r="BX133" s="43">
        <v>0.32</v>
      </c>
      <c r="BY133" s="43">
        <v>0.4</v>
      </c>
      <c r="BZ133" s="44">
        <v>0</v>
      </c>
      <c r="CA133" s="43">
        <v>0.03</v>
      </c>
      <c r="CB133" s="5"/>
      <c r="CC133" s="45">
        <f t="shared" si="143"/>
        <v>-1.5000000000000003E-2</v>
      </c>
      <c r="CD133" s="45">
        <f t="shared" si="144"/>
        <v>7.4999999999999997E-3</v>
      </c>
      <c r="CE133" s="45">
        <f t="shared" si="145"/>
        <v>-6.0000000000000012E-2</v>
      </c>
      <c r="CF133" s="46">
        <f t="shared" si="146"/>
        <v>-2E-3</v>
      </c>
      <c r="CG133" s="45">
        <f t="shared" si="147"/>
        <v>0.01</v>
      </c>
      <c r="CH133" s="5"/>
      <c r="CI133" s="44">
        <f t="shared" si="148"/>
        <v>10</v>
      </c>
      <c r="CJ133" s="44">
        <f t="shared" si="149"/>
        <v>18.702373439650415</v>
      </c>
      <c r="CK133" s="44">
        <f t="shared" si="150"/>
        <v>28.469953872054628</v>
      </c>
      <c r="CL133" s="44">
        <f t="shared" si="151"/>
        <v>10</v>
      </c>
      <c r="CM133" s="44">
        <f t="shared" si="152"/>
        <v>7.5349810486418294</v>
      </c>
      <c r="CN133" s="47">
        <f t="shared" si="153"/>
        <v>0</v>
      </c>
      <c r="CO133" s="5"/>
      <c r="CP133" s="47">
        <f t="shared" si="154"/>
        <v>8.7004319143252351E-3</v>
      </c>
      <c r="CQ133" s="47">
        <f t="shared" si="155"/>
        <v>6.4267800797378108E-2</v>
      </c>
      <c r="CR133" s="47">
        <f t="shared" si="156"/>
        <v>1.2118027676767225</v>
      </c>
      <c r="CS133" s="47">
        <f t="shared" si="157"/>
        <v>9.9999999999999645E-2</v>
      </c>
      <c r="CT133" s="47">
        <f t="shared" si="158"/>
        <v>2.3498104864182862E-3</v>
      </c>
      <c r="CU133" s="47">
        <f t="shared" si="159"/>
        <v>1.3871208108748438</v>
      </c>
    </row>
    <row r="134" spans="1:99" ht="15" customHeight="1">
      <c r="A134" s="5"/>
      <c r="B134" s="37" t="s">
        <v>88</v>
      </c>
      <c r="C134" s="37" t="s">
        <v>252</v>
      </c>
      <c r="D134" s="37" t="s">
        <v>255</v>
      </c>
      <c r="E134" s="26">
        <v>42551</v>
      </c>
      <c r="F134" s="38">
        <f t="shared" si="135"/>
        <v>73.591831235597184</v>
      </c>
      <c r="G134" s="4">
        <v>34462670</v>
      </c>
      <c r="H134" s="4">
        <v>11196249</v>
      </c>
      <c r="I134" s="4">
        <v>177411061</v>
      </c>
      <c r="J134" s="4">
        <v>122829233</v>
      </c>
      <c r="K134" s="4">
        <v>19400044</v>
      </c>
      <c r="L134" s="4">
        <v>85744291</v>
      </c>
      <c r="M134" s="4">
        <v>784249</v>
      </c>
      <c r="N134" s="4">
        <v>8775525</v>
      </c>
      <c r="O134" s="4">
        <v>18339231</v>
      </c>
      <c r="P134" s="4">
        <f t="shared" si="161"/>
        <v>113643296</v>
      </c>
      <c r="Q134" s="4">
        <v>111451332</v>
      </c>
      <c r="R134" s="4">
        <v>2191964</v>
      </c>
      <c r="S134" s="27">
        <v>100917731</v>
      </c>
      <c r="T134" s="27">
        <v>97932964</v>
      </c>
      <c r="U134" s="27">
        <v>113061263</v>
      </c>
      <c r="V134" s="27">
        <v>115403561</v>
      </c>
      <c r="W134" s="27">
        <v>769751</v>
      </c>
      <c r="X134" s="27">
        <v>7067901</v>
      </c>
      <c r="Y134" s="27">
        <v>20042867</v>
      </c>
      <c r="Z134" s="27">
        <v>0</v>
      </c>
      <c r="AA134" s="27">
        <v>26699194</v>
      </c>
      <c r="AB134" s="27">
        <f t="shared" si="162"/>
        <v>53809962</v>
      </c>
      <c r="AC134" s="27">
        <v>-4871474</v>
      </c>
      <c r="AD134" s="27">
        <v>0</v>
      </c>
      <c r="AE134" s="27">
        <f>AC134+AD134</f>
        <v>-4871474</v>
      </c>
      <c r="AF134" s="27">
        <v>0</v>
      </c>
      <c r="AG134" s="27">
        <v>1037860</v>
      </c>
      <c r="AH134" s="27">
        <v>1037860</v>
      </c>
      <c r="AI134" s="27">
        <v>1195883</v>
      </c>
      <c r="AJ134" s="26">
        <v>42186</v>
      </c>
      <c r="AK134" s="39">
        <v>12286000</v>
      </c>
      <c r="AL134" s="39">
        <v>18372000</v>
      </c>
      <c r="AM134" s="39">
        <v>6086000</v>
      </c>
      <c r="AN134" s="40">
        <v>0.66900000000000004</v>
      </c>
      <c r="AO134" s="41">
        <v>7.0000000000000007E-2</v>
      </c>
      <c r="AP134" s="40">
        <v>2.75E-2</v>
      </c>
      <c r="AQ134" s="27">
        <v>2629653</v>
      </c>
      <c r="AR134" s="27">
        <v>3039384</v>
      </c>
      <c r="AS134" s="27">
        <v>0</v>
      </c>
      <c r="AT134" s="27">
        <v>0</v>
      </c>
      <c r="AU134" s="27">
        <v>427598</v>
      </c>
      <c r="AV134" s="27">
        <v>1787133</v>
      </c>
      <c r="AW134" s="27">
        <v>11247572</v>
      </c>
      <c r="AX134" s="27">
        <f t="shared" si="138"/>
        <v>13462303</v>
      </c>
      <c r="AY134" s="27">
        <v>30304</v>
      </c>
      <c r="AZ134" s="27">
        <v>1599957</v>
      </c>
      <c r="BA134" s="27">
        <v>10572926</v>
      </c>
      <c r="BB134" s="27">
        <v>1787133</v>
      </c>
      <c r="BC134" s="27">
        <v>10542509</v>
      </c>
      <c r="BD134" s="27">
        <f t="shared" si="139"/>
        <v>24532829</v>
      </c>
      <c r="BE134" s="29">
        <f t="shared" si="140"/>
        <v>2.3139534777308818E-2</v>
      </c>
      <c r="BF134" s="29">
        <f t="shared" si="141"/>
        <v>0.13746447008384224</v>
      </c>
      <c r="BG134" s="29">
        <f t="shared" si="142"/>
        <v>0.29713230950288522</v>
      </c>
      <c r="BH134" s="42">
        <f>VLOOKUP(B134,Unemployment!$A$2:$F$193,6,0)</f>
        <v>-0.30000000000000027</v>
      </c>
      <c r="BI134" s="29">
        <f>VLOOKUP(B134,Zillow!$C$11:$R$193,16,0)</f>
        <v>9.2990189108488556E-3</v>
      </c>
      <c r="BJ134" s="5"/>
      <c r="BK134" s="6">
        <v>10</v>
      </c>
      <c r="BL134" s="6">
        <v>40</v>
      </c>
      <c r="BM134" s="6">
        <v>30</v>
      </c>
      <c r="BN134" s="6">
        <v>10</v>
      </c>
      <c r="BO134" s="6">
        <v>10</v>
      </c>
      <c r="BP134" s="5"/>
      <c r="BQ134" s="43">
        <v>0.2</v>
      </c>
      <c r="BR134" s="43">
        <v>0.02</v>
      </c>
      <c r="BS134" s="43">
        <v>2.2000000000000002</v>
      </c>
      <c r="BT134" s="44">
        <v>0.02</v>
      </c>
      <c r="BU134" s="43">
        <v>-7.0000000000000007E-2</v>
      </c>
      <c r="BV134" s="5"/>
      <c r="BW134" s="43">
        <v>0.05</v>
      </c>
      <c r="BX134" s="43">
        <v>0.32</v>
      </c>
      <c r="BY134" s="43">
        <v>0.4</v>
      </c>
      <c r="BZ134" s="44">
        <v>0</v>
      </c>
      <c r="CA134" s="43">
        <v>0.03</v>
      </c>
      <c r="CB134" s="5"/>
      <c r="CC134" s="45">
        <f t="shared" si="143"/>
        <v>-1.5000000000000003E-2</v>
      </c>
      <c r="CD134" s="45">
        <f t="shared" si="144"/>
        <v>7.4999999999999997E-3</v>
      </c>
      <c r="CE134" s="45">
        <f t="shared" si="145"/>
        <v>-6.0000000000000012E-2</v>
      </c>
      <c r="CF134" s="46">
        <f t="shared" si="146"/>
        <v>-2E-3</v>
      </c>
      <c r="CG134" s="45">
        <f t="shared" si="147"/>
        <v>0.01</v>
      </c>
      <c r="CH134" s="5"/>
      <c r="CI134" s="44">
        <f t="shared" si="148"/>
        <v>10</v>
      </c>
      <c r="CJ134" s="44">
        <f t="shared" si="149"/>
        <v>15.661929344512298</v>
      </c>
      <c r="CK134" s="44">
        <f t="shared" si="150"/>
        <v>30</v>
      </c>
      <c r="CL134" s="44">
        <f t="shared" si="151"/>
        <v>10</v>
      </c>
      <c r="CM134" s="44">
        <f t="shared" si="152"/>
        <v>7.9299018910848869</v>
      </c>
      <c r="CN134" s="47">
        <f t="shared" si="153"/>
        <v>0</v>
      </c>
      <c r="CO134" s="5"/>
      <c r="CP134" s="47">
        <f t="shared" si="154"/>
        <v>3.0639534777308821E-2</v>
      </c>
      <c r="CQ134" s="47">
        <f t="shared" si="155"/>
        <v>4.1464470083842256E-2</v>
      </c>
      <c r="CR134" s="47">
        <f t="shared" si="156"/>
        <v>1.0171323095028855</v>
      </c>
      <c r="CS134" s="47">
        <f t="shared" si="157"/>
        <v>0.30000000000000027</v>
      </c>
      <c r="CT134" s="47">
        <f t="shared" si="158"/>
        <v>6.2990189108488564E-3</v>
      </c>
      <c r="CU134" s="47">
        <f t="shared" si="159"/>
        <v>1.3955353332748857</v>
      </c>
    </row>
    <row r="135" spans="1:99" ht="15" customHeight="1">
      <c r="A135" s="5"/>
      <c r="B135" s="37" t="s">
        <v>151</v>
      </c>
      <c r="C135" s="37" t="s">
        <v>252</v>
      </c>
      <c r="D135" s="37" t="s">
        <v>255</v>
      </c>
      <c r="E135" s="26">
        <v>42551</v>
      </c>
      <c r="F135" s="38">
        <f t="shared" si="135"/>
        <v>84.3060596107116</v>
      </c>
      <c r="G135" s="4">
        <v>15188757</v>
      </c>
      <c r="H135" s="4">
        <v>1681866</v>
      </c>
      <c r="I135" s="4">
        <v>72029024</v>
      </c>
      <c r="J135" s="4">
        <v>50124091</v>
      </c>
      <c r="K135" s="4">
        <v>4416124</v>
      </c>
      <c r="L135" s="4">
        <v>23611256</v>
      </c>
      <c r="M135" s="4">
        <v>1485386</v>
      </c>
      <c r="N135" s="4">
        <v>1823871</v>
      </c>
      <c r="O135" s="4">
        <v>10082242</v>
      </c>
      <c r="P135" s="4">
        <f t="shared" si="161"/>
        <v>37002755</v>
      </c>
      <c r="Q135" s="4">
        <v>35525999</v>
      </c>
      <c r="R135" s="4">
        <v>1476756</v>
      </c>
      <c r="S135" s="27">
        <v>33119999</v>
      </c>
      <c r="T135" s="27">
        <v>33691559</v>
      </c>
      <c r="U135" s="27">
        <v>36797634</v>
      </c>
      <c r="V135" s="27">
        <v>38810820</v>
      </c>
      <c r="W135" s="27">
        <v>-1396004</v>
      </c>
      <c r="X135" s="27">
        <v>1873990</v>
      </c>
      <c r="Y135" s="27">
        <v>1224593</v>
      </c>
      <c r="Z135" s="27">
        <v>2945299</v>
      </c>
      <c r="AA135" s="27">
        <v>14876697</v>
      </c>
      <c r="AB135" s="27">
        <f t="shared" si="162"/>
        <v>20920579</v>
      </c>
      <c r="AC135" s="27">
        <v>2945299</v>
      </c>
      <c r="AD135" s="27">
        <v>0</v>
      </c>
      <c r="AE135" s="27">
        <f>AC135+AD135</f>
        <v>2945299</v>
      </c>
      <c r="AF135" s="27">
        <v>0</v>
      </c>
      <c r="AG135" s="27">
        <v>342702</v>
      </c>
      <c r="AH135" s="27">
        <v>294133</v>
      </c>
      <c r="AI135" s="27">
        <v>120890</v>
      </c>
      <c r="AJ135" s="26">
        <v>41821</v>
      </c>
      <c r="AK135" s="39">
        <v>0</v>
      </c>
      <c r="AL135" s="39">
        <v>4585470</v>
      </c>
      <c r="AM135" s="39">
        <v>4585470</v>
      </c>
      <c r="AN135" s="40">
        <v>0</v>
      </c>
      <c r="AO135" s="40">
        <v>0.02</v>
      </c>
      <c r="AP135" s="40">
        <v>3.5000000000000003E-2</v>
      </c>
      <c r="AQ135" s="27">
        <v>471261</v>
      </c>
      <c r="AR135" s="27">
        <v>474121</v>
      </c>
      <c r="AS135" s="27">
        <v>132912</v>
      </c>
      <c r="AT135" s="27">
        <v>0</v>
      </c>
      <c r="AU135" s="27">
        <v>787237</v>
      </c>
      <c r="AV135" s="27">
        <v>629566</v>
      </c>
      <c r="AW135" s="27">
        <v>6144025</v>
      </c>
      <c r="AX135" s="27">
        <f t="shared" si="138"/>
        <v>7693740</v>
      </c>
      <c r="AY135" s="27">
        <v>207912</v>
      </c>
      <c r="AZ135" s="27">
        <v>3843971</v>
      </c>
      <c r="BA135" s="27">
        <v>2318620</v>
      </c>
      <c r="BB135" s="27">
        <v>629566</v>
      </c>
      <c r="BC135" s="27">
        <v>6011113</v>
      </c>
      <c r="BD135" s="27">
        <f t="shared" si="139"/>
        <v>13011182</v>
      </c>
      <c r="BE135" s="29">
        <f t="shared" si="140"/>
        <v>1.2735835480358152E-2</v>
      </c>
      <c r="BF135" s="29">
        <f t="shared" si="141"/>
        <v>0.22835808814902273</v>
      </c>
      <c r="BG135" s="29">
        <f t="shared" si="142"/>
        <v>0.53228431234377005</v>
      </c>
      <c r="BH135" s="42">
        <f>VLOOKUP(B135,Unemployment!$A$2:$F$193,6,0)</f>
        <v>-0.39999999999999947</v>
      </c>
      <c r="BI135" s="29">
        <f>VLOOKUP(B135,Zillow!$C$11:$R$193,16,0)</f>
        <v>1.7297197299047266E-2</v>
      </c>
      <c r="BJ135" s="5"/>
      <c r="BK135" s="6">
        <v>10</v>
      </c>
      <c r="BL135" s="6">
        <v>40</v>
      </c>
      <c r="BM135" s="6">
        <v>30</v>
      </c>
      <c r="BN135" s="6">
        <v>10</v>
      </c>
      <c r="BO135" s="6">
        <v>10</v>
      </c>
      <c r="BP135" s="5"/>
      <c r="BQ135" s="43">
        <v>0.2</v>
      </c>
      <c r="BR135" s="43">
        <v>0.02</v>
      </c>
      <c r="BS135" s="43">
        <v>2.2000000000000002</v>
      </c>
      <c r="BT135" s="44">
        <v>0.02</v>
      </c>
      <c r="BU135" s="43">
        <v>-7.0000000000000007E-2</v>
      </c>
      <c r="BV135" s="5"/>
      <c r="BW135" s="43">
        <v>0.05</v>
      </c>
      <c r="BX135" s="43">
        <v>0.32</v>
      </c>
      <c r="BY135" s="43">
        <v>0.4</v>
      </c>
      <c r="BZ135" s="44">
        <v>0</v>
      </c>
      <c r="CA135" s="43">
        <v>0.03</v>
      </c>
      <c r="CB135" s="5"/>
      <c r="CC135" s="45">
        <f t="shared" si="143"/>
        <v>-1.5000000000000003E-2</v>
      </c>
      <c r="CD135" s="45">
        <f t="shared" si="144"/>
        <v>7.4999999999999997E-3</v>
      </c>
      <c r="CE135" s="45">
        <f t="shared" si="145"/>
        <v>-6.0000000000000012E-2</v>
      </c>
      <c r="CF135" s="46">
        <f t="shared" si="146"/>
        <v>-2E-3</v>
      </c>
      <c r="CG135" s="45">
        <f t="shared" si="147"/>
        <v>0.01</v>
      </c>
      <c r="CH135" s="5"/>
      <c r="CI135" s="44">
        <f t="shared" si="148"/>
        <v>10</v>
      </c>
      <c r="CJ135" s="44">
        <f t="shared" si="149"/>
        <v>27.781078419869701</v>
      </c>
      <c r="CK135" s="44">
        <f t="shared" si="150"/>
        <v>27.795261460937162</v>
      </c>
      <c r="CL135" s="44">
        <f t="shared" si="151"/>
        <v>10</v>
      </c>
      <c r="CM135" s="44">
        <f t="shared" si="152"/>
        <v>8.729719729904728</v>
      </c>
      <c r="CN135" s="47">
        <f t="shared" si="153"/>
        <v>0</v>
      </c>
      <c r="CO135" s="5"/>
      <c r="CP135" s="47">
        <f t="shared" si="154"/>
        <v>2.0235835480358153E-2</v>
      </c>
      <c r="CQ135" s="47">
        <f t="shared" si="155"/>
        <v>0.13235808814902272</v>
      </c>
      <c r="CR135" s="47">
        <f t="shared" si="156"/>
        <v>1.2522843123437704</v>
      </c>
      <c r="CS135" s="47">
        <f t="shared" si="157"/>
        <v>0.39999999999999947</v>
      </c>
      <c r="CT135" s="47">
        <f t="shared" si="158"/>
        <v>1.4297197299047267E-2</v>
      </c>
      <c r="CU135" s="47">
        <f t="shared" si="159"/>
        <v>1.8191754332721981</v>
      </c>
    </row>
    <row r="136" spans="1:99" ht="15" customHeight="1">
      <c r="A136" s="5"/>
      <c r="B136" s="37" t="s">
        <v>42</v>
      </c>
      <c r="C136" s="37" t="s">
        <v>252</v>
      </c>
      <c r="D136" s="37" t="s">
        <v>255</v>
      </c>
      <c r="E136" s="26">
        <v>42551</v>
      </c>
      <c r="F136" s="38">
        <f t="shared" si="135"/>
        <v>65.822499478695633</v>
      </c>
      <c r="G136" s="4">
        <v>50544868</v>
      </c>
      <c r="H136" s="4">
        <v>32504561</v>
      </c>
      <c r="I136" s="4">
        <v>247994068</v>
      </c>
      <c r="J136" s="4">
        <v>125298784</v>
      </c>
      <c r="K136" s="4">
        <v>3572905</v>
      </c>
      <c r="L136" s="4">
        <v>93679331</v>
      </c>
      <c r="M136" s="4">
        <v>1470155</v>
      </c>
      <c r="N136" s="4">
        <v>11855782</v>
      </c>
      <c r="O136" s="4">
        <v>25240431</v>
      </c>
      <c r="P136" s="4">
        <f t="shared" si="161"/>
        <v>132245699</v>
      </c>
      <c r="Q136" s="4">
        <v>132138947</v>
      </c>
      <c r="R136" s="4">
        <v>106752</v>
      </c>
      <c r="S136" s="27">
        <v>117077453</v>
      </c>
      <c r="T136" s="27">
        <v>112353559</v>
      </c>
      <c r="U136" s="27">
        <v>133277097</v>
      </c>
      <c r="V136" s="27">
        <v>144166522</v>
      </c>
      <c r="W136" s="27">
        <v>3273518</v>
      </c>
      <c r="X136" s="27">
        <v>7120367</v>
      </c>
      <c r="Y136" s="27">
        <v>23466481</v>
      </c>
      <c r="Z136" s="27">
        <v>0</v>
      </c>
      <c r="AA136" s="27">
        <v>67586776</v>
      </c>
      <c r="AB136" s="27">
        <f t="shared" si="162"/>
        <v>98173624</v>
      </c>
      <c r="AC136" s="27">
        <v>-44994</v>
      </c>
      <c r="AD136" s="27">
        <v>0</v>
      </c>
      <c r="AE136" s="27">
        <f>AC136+AD136</f>
        <v>-44994</v>
      </c>
      <c r="AF136" s="27">
        <v>0</v>
      </c>
      <c r="AG136" s="27">
        <v>1007276</v>
      </c>
      <c r="AH136" s="27">
        <v>1007122</v>
      </c>
      <c r="AI136" s="27">
        <v>1025696</v>
      </c>
      <c r="AJ136" s="26">
        <v>41456</v>
      </c>
      <c r="AK136" s="39">
        <v>839000</v>
      </c>
      <c r="AL136" s="39">
        <v>9510000</v>
      </c>
      <c r="AM136" s="39">
        <v>8671000</v>
      </c>
      <c r="AN136" s="40">
        <v>8.7999999999999995E-2</v>
      </c>
      <c r="AO136" s="49"/>
      <c r="AP136" s="40"/>
      <c r="AQ136" s="27">
        <v>2263435</v>
      </c>
      <c r="AR136" s="27">
        <v>2263435</v>
      </c>
      <c r="AS136" s="27">
        <v>0</v>
      </c>
      <c r="AT136" s="27">
        <v>0</v>
      </c>
      <c r="AU136" s="27">
        <v>0</v>
      </c>
      <c r="AV136" s="27">
        <v>2096625</v>
      </c>
      <c r="AW136" s="27">
        <v>8035255</v>
      </c>
      <c r="AX136" s="27">
        <f t="shared" si="138"/>
        <v>10131880</v>
      </c>
      <c r="AY136" s="27">
        <v>39488</v>
      </c>
      <c r="AZ136" s="27">
        <v>839148</v>
      </c>
      <c r="BA136" s="27">
        <v>2468694</v>
      </c>
      <c r="BB136" s="27">
        <v>2096625</v>
      </c>
      <c r="BC136" s="27">
        <v>4292955</v>
      </c>
      <c r="BD136" s="27">
        <f t="shared" si="139"/>
        <v>9736910</v>
      </c>
      <c r="BE136" s="29">
        <f t="shared" si="140"/>
        <v>1.7115377037706155E-2</v>
      </c>
      <c r="BF136" s="29">
        <f t="shared" si="141"/>
        <v>9.0178540761668258E-2</v>
      </c>
      <c r="BG136" s="29">
        <f t="shared" si="142"/>
        <v>0.56491170272388214</v>
      </c>
      <c r="BH136" s="42">
        <f>VLOOKUP(B136,Unemployment!$A$2:$F$193,6,0)</f>
        <v>-0.40000000000000036</v>
      </c>
      <c r="BI136" s="29">
        <f>VLOOKUP(B136,Zillow!$C$11:$R$193,16,0)</f>
        <v>2.2138890892045696E-2</v>
      </c>
      <c r="BJ136" s="5"/>
      <c r="BK136" s="6">
        <v>10</v>
      </c>
      <c r="BL136" s="6">
        <v>40</v>
      </c>
      <c r="BM136" s="6">
        <v>30</v>
      </c>
      <c r="BN136" s="6">
        <v>10</v>
      </c>
      <c r="BO136" s="6">
        <v>10</v>
      </c>
      <c r="BP136" s="5"/>
      <c r="BQ136" s="43">
        <v>0.2</v>
      </c>
      <c r="BR136" s="43">
        <v>0.02</v>
      </c>
      <c r="BS136" s="43">
        <v>2.2000000000000002</v>
      </c>
      <c r="BT136" s="44">
        <v>0.02</v>
      </c>
      <c r="BU136" s="43">
        <v>-7.0000000000000007E-2</v>
      </c>
      <c r="BV136" s="5"/>
      <c r="BW136" s="43">
        <v>0.05</v>
      </c>
      <c r="BX136" s="43">
        <v>0.32</v>
      </c>
      <c r="BY136" s="43">
        <v>0.4</v>
      </c>
      <c r="BZ136" s="44">
        <v>0</v>
      </c>
      <c r="CA136" s="43">
        <v>0.03</v>
      </c>
      <c r="CB136" s="5"/>
      <c r="CC136" s="45">
        <f t="shared" si="143"/>
        <v>-1.5000000000000003E-2</v>
      </c>
      <c r="CD136" s="45">
        <f t="shared" si="144"/>
        <v>7.4999999999999997E-3</v>
      </c>
      <c r="CE136" s="45">
        <f t="shared" si="145"/>
        <v>-6.0000000000000012E-2</v>
      </c>
      <c r="CF136" s="46">
        <f t="shared" si="146"/>
        <v>-2E-3</v>
      </c>
      <c r="CG136" s="45">
        <f t="shared" si="147"/>
        <v>0.01</v>
      </c>
      <c r="CH136" s="5"/>
      <c r="CI136" s="44">
        <f t="shared" si="148"/>
        <v>10</v>
      </c>
      <c r="CJ136" s="44">
        <f t="shared" si="149"/>
        <v>9.3571387682224341</v>
      </c>
      <c r="CK136" s="44">
        <f t="shared" si="150"/>
        <v>27.251471621268628</v>
      </c>
      <c r="CL136" s="44">
        <f t="shared" si="151"/>
        <v>10</v>
      </c>
      <c r="CM136" s="44">
        <f t="shared" si="152"/>
        <v>9.2138890892045708</v>
      </c>
      <c r="CN136" s="47">
        <f t="shared" si="153"/>
        <v>0</v>
      </c>
      <c r="CO136" s="5"/>
      <c r="CP136" s="47">
        <f t="shared" si="154"/>
        <v>2.4615377037706158E-2</v>
      </c>
      <c r="CQ136" s="47">
        <f t="shared" si="155"/>
        <v>5.8214592383317304E-3</v>
      </c>
      <c r="CR136" s="47">
        <f t="shared" si="156"/>
        <v>1.2849117027238823</v>
      </c>
      <c r="CS136" s="47">
        <f t="shared" si="157"/>
        <v>0.40000000000000036</v>
      </c>
      <c r="CT136" s="47">
        <f t="shared" si="158"/>
        <v>1.9138890892045696E-2</v>
      </c>
      <c r="CU136" s="47">
        <f t="shared" si="159"/>
        <v>1.7344874298919664</v>
      </c>
    </row>
    <row r="137" spans="1:99" ht="15" customHeight="1">
      <c r="A137" s="5"/>
      <c r="B137" s="37" t="s">
        <v>100</v>
      </c>
      <c r="C137" s="37" t="s">
        <v>252</v>
      </c>
      <c r="D137" s="37" t="s">
        <v>255</v>
      </c>
      <c r="E137" s="26">
        <v>42551</v>
      </c>
      <c r="F137" s="38">
        <f t="shared" si="135"/>
        <v>75.236873573186031</v>
      </c>
      <c r="G137" s="4">
        <v>27018462</v>
      </c>
      <c r="H137" s="4">
        <v>6390913</v>
      </c>
      <c r="I137" s="4">
        <v>115195878</v>
      </c>
      <c r="J137" s="4">
        <v>98551247</v>
      </c>
      <c r="K137" s="4">
        <v>16858952</v>
      </c>
      <c r="L137" s="4">
        <v>61679817</v>
      </c>
      <c r="M137" s="4">
        <v>2234228</v>
      </c>
      <c r="N137" s="4">
        <v>2238698</v>
      </c>
      <c r="O137" s="4">
        <v>4349466</v>
      </c>
      <c r="P137" s="4">
        <f t="shared" si="161"/>
        <v>70502209</v>
      </c>
      <c r="Q137" s="4">
        <v>66489141</v>
      </c>
      <c r="R137" s="4">
        <v>4013068</v>
      </c>
      <c r="S137" s="27">
        <v>66119809</v>
      </c>
      <c r="T137" s="27">
        <v>61144972</v>
      </c>
      <c r="U137" s="27">
        <v>70471639</v>
      </c>
      <c r="V137" s="27">
        <v>69498207</v>
      </c>
      <c r="W137" s="27">
        <v>1603526</v>
      </c>
      <c r="X137" s="27">
        <v>1274424</v>
      </c>
      <c r="Y137" s="27">
        <v>5375901</v>
      </c>
      <c r="Z137" s="27">
        <v>0</v>
      </c>
      <c r="AA137" s="27">
        <v>5869110</v>
      </c>
      <c r="AB137" s="27">
        <f t="shared" si="162"/>
        <v>12519435</v>
      </c>
      <c r="AC137" s="27"/>
      <c r="AD137" s="27"/>
      <c r="AE137" s="27"/>
      <c r="AF137" s="27"/>
      <c r="AG137" s="27"/>
      <c r="AH137" s="27"/>
      <c r="AI137" s="27"/>
      <c r="AJ137" s="26"/>
      <c r="AK137" s="39"/>
      <c r="AL137" s="39"/>
      <c r="AM137" s="39"/>
      <c r="AN137" s="40"/>
      <c r="AO137" s="49"/>
      <c r="AP137" s="40"/>
      <c r="AQ137" s="27">
        <v>988541</v>
      </c>
      <c r="AR137" s="27">
        <v>989000</v>
      </c>
      <c r="AS137" s="27">
        <v>255981</v>
      </c>
      <c r="AT137" s="27">
        <v>0</v>
      </c>
      <c r="AU137" s="27">
        <v>487531</v>
      </c>
      <c r="AV137" s="27">
        <v>5505058</v>
      </c>
      <c r="AW137" s="27">
        <v>1961766</v>
      </c>
      <c r="AX137" s="27">
        <f t="shared" si="138"/>
        <v>8210336</v>
      </c>
      <c r="AY137" s="27">
        <v>255981</v>
      </c>
      <c r="AZ137" s="27">
        <v>7329970</v>
      </c>
      <c r="BA137" s="27">
        <v>3910148</v>
      </c>
      <c r="BB137" s="27">
        <v>5505058</v>
      </c>
      <c r="BC137" s="27">
        <v>1961766</v>
      </c>
      <c r="BD137" s="27">
        <f t="shared" si="139"/>
        <v>18962923</v>
      </c>
      <c r="BE137" s="29">
        <f t="shared" si="140"/>
        <v>1.4021418818238731E-2</v>
      </c>
      <c r="BF137" s="29">
        <f t="shared" si="141"/>
        <v>0.13427655179889525</v>
      </c>
      <c r="BG137" s="29">
        <f t="shared" si="142"/>
        <v>0.10132354859973253</v>
      </c>
      <c r="BH137" s="42">
        <f>VLOOKUP(B137,Unemployment!$A$2:$F$193,6,0)</f>
        <v>-0.40000000000000036</v>
      </c>
      <c r="BI137" s="29">
        <f>VLOOKUP(B137,Zillow!$C$11:$R$193,16,0)</f>
        <v>5.9249659389226654E-2</v>
      </c>
      <c r="BJ137" s="5"/>
      <c r="BK137" s="6">
        <v>10</v>
      </c>
      <c r="BL137" s="6">
        <v>40</v>
      </c>
      <c r="BM137" s="6">
        <v>30</v>
      </c>
      <c r="BN137" s="6">
        <v>10</v>
      </c>
      <c r="BO137" s="6">
        <v>10</v>
      </c>
      <c r="BP137" s="5"/>
      <c r="BQ137" s="43">
        <v>0.2</v>
      </c>
      <c r="BR137" s="43">
        <v>0.02</v>
      </c>
      <c r="BS137" s="43">
        <v>2.2000000000000002</v>
      </c>
      <c r="BT137" s="44">
        <v>0.02</v>
      </c>
      <c r="BU137" s="43">
        <v>-7.0000000000000007E-2</v>
      </c>
      <c r="BV137" s="5"/>
      <c r="BW137" s="43">
        <v>0.05</v>
      </c>
      <c r="BX137" s="43">
        <v>0.32</v>
      </c>
      <c r="BY137" s="43">
        <v>0.4</v>
      </c>
      <c r="BZ137" s="44">
        <v>0</v>
      </c>
      <c r="CA137" s="43">
        <v>0.03</v>
      </c>
      <c r="CB137" s="5"/>
      <c r="CC137" s="45">
        <f t="shared" si="143"/>
        <v>-1.5000000000000003E-2</v>
      </c>
      <c r="CD137" s="45">
        <f t="shared" si="144"/>
        <v>7.4999999999999997E-3</v>
      </c>
      <c r="CE137" s="45">
        <f t="shared" si="145"/>
        <v>-6.0000000000000012E-2</v>
      </c>
      <c r="CF137" s="46">
        <f t="shared" si="146"/>
        <v>-2E-3</v>
      </c>
      <c r="CG137" s="45">
        <f t="shared" si="147"/>
        <v>0.01</v>
      </c>
      <c r="CH137" s="5"/>
      <c r="CI137" s="44">
        <f t="shared" si="148"/>
        <v>10</v>
      </c>
      <c r="CJ137" s="44">
        <f t="shared" si="149"/>
        <v>15.236873573186033</v>
      </c>
      <c r="CK137" s="44">
        <f t="shared" si="150"/>
        <v>30</v>
      </c>
      <c r="CL137" s="44">
        <f t="shared" si="151"/>
        <v>10</v>
      </c>
      <c r="CM137" s="44">
        <f t="shared" si="152"/>
        <v>10</v>
      </c>
      <c r="CN137" s="47">
        <f t="shared" si="153"/>
        <v>0</v>
      </c>
      <c r="CO137" s="5"/>
      <c r="CP137" s="47">
        <f t="shared" si="154"/>
        <v>2.1521418818238734E-2</v>
      </c>
      <c r="CQ137" s="47">
        <f t="shared" si="155"/>
        <v>3.8276551798895261E-2</v>
      </c>
      <c r="CR137" s="47">
        <f t="shared" si="156"/>
        <v>0.82132354859973278</v>
      </c>
      <c r="CS137" s="47">
        <f t="shared" si="157"/>
        <v>0.40000000000000036</v>
      </c>
      <c r="CT137" s="47">
        <f t="shared" si="158"/>
        <v>5.6249659389226651E-2</v>
      </c>
      <c r="CU137" s="47">
        <f t="shared" si="159"/>
        <v>1.3373711786060936</v>
      </c>
    </row>
    <row r="138" spans="1:99" ht="15" customHeight="1">
      <c r="A138" s="5"/>
      <c r="B138" s="37" t="s">
        <v>94</v>
      </c>
      <c r="C138" s="37" t="s">
        <v>252</v>
      </c>
      <c r="D138" s="37" t="s">
        <v>255</v>
      </c>
      <c r="E138" s="26">
        <v>42551</v>
      </c>
      <c r="F138" s="38">
        <f t="shared" si="135"/>
        <v>74.224826391474181</v>
      </c>
      <c r="G138" s="4">
        <v>72364000</v>
      </c>
      <c r="H138" s="4">
        <v>17127000</v>
      </c>
      <c r="I138" s="4">
        <v>409031000</v>
      </c>
      <c r="J138" s="4">
        <v>226475000</v>
      </c>
      <c r="K138" s="4">
        <v>22072000</v>
      </c>
      <c r="L138" s="4">
        <v>115875000</v>
      </c>
      <c r="M138" s="4">
        <v>10200000</v>
      </c>
      <c r="N138" s="4">
        <v>15704000</v>
      </c>
      <c r="O138" s="4">
        <v>38290000</v>
      </c>
      <c r="P138" s="4">
        <f t="shared" si="161"/>
        <v>180069000</v>
      </c>
      <c r="Q138" s="4">
        <v>163850000</v>
      </c>
      <c r="R138" s="4">
        <v>16219000</v>
      </c>
      <c r="S138" s="27">
        <v>150107000</v>
      </c>
      <c r="T138" s="27">
        <v>145402000</v>
      </c>
      <c r="U138" s="27">
        <v>169055000</v>
      </c>
      <c r="V138" s="27">
        <v>180967000</v>
      </c>
      <c r="W138" s="27">
        <v>1408000</v>
      </c>
      <c r="X138" s="27">
        <v>11903</v>
      </c>
      <c r="Y138" s="27">
        <v>10826</v>
      </c>
      <c r="Z138" s="27">
        <v>11314</v>
      </c>
      <c r="AA138" s="27">
        <v>138209</v>
      </c>
      <c r="AB138" s="27">
        <f t="shared" si="162"/>
        <v>172252</v>
      </c>
      <c r="AC138" s="27">
        <v>11314</v>
      </c>
      <c r="AD138" s="27">
        <v>0</v>
      </c>
      <c r="AE138" s="27">
        <f>AC138+AD138</f>
        <v>11314</v>
      </c>
      <c r="AF138" s="27">
        <v>0</v>
      </c>
      <c r="AG138" s="27">
        <v>2864</v>
      </c>
      <c r="AH138" s="27">
        <v>2748</v>
      </c>
      <c r="AI138" s="27">
        <v>1131</v>
      </c>
      <c r="AJ138" s="26">
        <v>42186</v>
      </c>
      <c r="AK138" s="39">
        <v>0</v>
      </c>
      <c r="AL138" s="39">
        <v>39963</v>
      </c>
      <c r="AM138" s="39">
        <f>AL138-AK138</f>
        <v>39963</v>
      </c>
      <c r="AN138" s="40">
        <v>0</v>
      </c>
      <c r="AO138" s="41">
        <v>0.04</v>
      </c>
      <c r="AP138" s="40">
        <v>0.03</v>
      </c>
      <c r="AQ138" s="27">
        <v>4776</v>
      </c>
      <c r="AR138" s="27">
        <v>4776</v>
      </c>
      <c r="AS138" s="27">
        <v>33000</v>
      </c>
      <c r="AT138" s="27">
        <v>0</v>
      </c>
      <c r="AU138" s="27">
        <v>146000</v>
      </c>
      <c r="AV138" s="27">
        <v>598000</v>
      </c>
      <c r="AW138" s="27">
        <v>19738000</v>
      </c>
      <c r="AX138" s="27">
        <f t="shared" si="138"/>
        <v>20515000</v>
      </c>
      <c r="AY138" s="27">
        <v>117000</v>
      </c>
      <c r="AZ138" s="27">
        <v>783000</v>
      </c>
      <c r="BA138" s="27">
        <v>14485000</v>
      </c>
      <c r="BB138" s="27">
        <v>598000</v>
      </c>
      <c r="BC138" s="27">
        <v>19738000</v>
      </c>
      <c r="BD138" s="27">
        <f t="shared" si="139"/>
        <v>35721000</v>
      </c>
      <c r="BE138" s="29">
        <f t="shared" si="140"/>
        <v>2.6523166119654131E-5</v>
      </c>
      <c r="BF138" s="29">
        <f t="shared" si="141"/>
        <v>0.14109159433845478</v>
      </c>
      <c r="BG138" s="29">
        <f t="shared" si="142"/>
        <v>8.9646746524943215E-4</v>
      </c>
      <c r="BH138" s="42">
        <f>VLOOKUP(B138,Unemployment!$A$2:$F$193,6,0)</f>
        <v>-0.39999999999999947</v>
      </c>
      <c r="BI138" s="29">
        <f>VLOOKUP(B138,Zillow!$C$11:$R$193,16,0)</f>
        <v>1.0792804796802131E-2</v>
      </c>
      <c r="BJ138" s="5"/>
      <c r="BK138" s="6">
        <v>10</v>
      </c>
      <c r="BL138" s="6">
        <v>40</v>
      </c>
      <c r="BM138" s="6">
        <v>30</v>
      </c>
      <c r="BN138" s="6">
        <v>10</v>
      </c>
      <c r="BO138" s="6">
        <v>10</v>
      </c>
      <c r="BP138" s="5"/>
      <c r="BQ138" s="43">
        <v>0.2</v>
      </c>
      <c r="BR138" s="43">
        <v>0.02</v>
      </c>
      <c r="BS138" s="43">
        <v>2.2000000000000002</v>
      </c>
      <c r="BT138" s="44">
        <v>0.02</v>
      </c>
      <c r="BU138" s="43">
        <v>-7.0000000000000007E-2</v>
      </c>
      <c r="BV138" s="5"/>
      <c r="BW138" s="43">
        <v>0.05</v>
      </c>
      <c r="BX138" s="43">
        <v>0.32</v>
      </c>
      <c r="BY138" s="43">
        <v>0.4</v>
      </c>
      <c r="BZ138" s="44">
        <v>0</v>
      </c>
      <c r="CA138" s="43">
        <v>0.03</v>
      </c>
      <c r="CB138" s="5"/>
      <c r="CC138" s="45">
        <f t="shared" si="143"/>
        <v>-1.5000000000000003E-2</v>
      </c>
      <c r="CD138" s="45">
        <f t="shared" si="144"/>
        <v>7.4999999999999997E-3</v>
      </c>
      <c r="CE138" s="45">
        <f t="shared" si="145"/>
        <v>-6.0000000000000012E-2</v>
      </c>
      <c r="CF138" s="46">
        <f t="shared" si="146"/>
        <v>-2E-3</v>
      </c>
      <c r="CG138" s="45">
        <f t="shared" si="147"/>
        <v>0.01</v>
      </c>
      <c r="CH138" s="5"/>
      <c r="CI138" s="44">
        <f t="shared" si="148"/>
        <v>10</v>
      </c>
      <c r="CJ138" s="44">
        <f t="shared" si="149"/>
        <v>16.14554591179397</v>
      </c>
      <c r="CK138" s="44">
        <f t="shared" si="150"/>
        <v>30</v>
      </c>
      <c r="CL138" s="44">
        <f t="shared" si="151"/>
        <v>10</v>
      </c>
      <c r="CM138" s="44">
        <f t="shared" si="152"/>
        <v>8.0792804796802127</v>
      </c>
      <c r="CN138" s="47">
        <f t="shared" si="153"/>
        <v>0</v>
      </c>
      <c r="CO138" s="5"/>
      <c r="CP138" s="47">
        <f t="shared" si="154"/>
        <v>7.5265231661196565E-3</v>
      </c>
      <c r="CQ138" s="47">
        <f t="shared" si="155"/>
        <v>4.5091594338454791E-2</v>
      </c>
      <c r="CR138" s="47">
        <f t="shared" si="156"/>
        <v>0.7208964674652496</v>
      </c>
      <c r="CS138" s="47">
        <f t="shared" si="157"/>
        <v>0.39999999999999947</v>
      </c>
      <c r="CT138" s="47">
        <f t="shared" si="158"/>
        <v>7.7928047968021316E-3</v>
      </c>
      <c r="CU138" s="47">
        <f t="shared" si="159"/>
        <v>1.1813073897666257</v>
      </c>
    </row>
    <row r="139" spans="1:99" ht="15" customHeight="1">
      <c r="A139" s="5"/>
      <c r="B139" s="37" t="s">
        <v>7</v>
      </c>
      <c r="C139" s="37" t="s">
        <v>252</v>
      </c>
      <c r="D139" s="37" t="s">
        <v>258</v>
      </c>
      <c r="E139" s="26">
        <v>42551</v>
      </c>
      <c r="F139" s="38">
        <f t="shared" si="135"/>
        <v>49.687615633884739</v>
      </c>
      <c r="G139" s="4">
        <v>2137879</v>
      </c>
      <c r="H139" s="4">
        <v>420785</v>
      </c>
      <c r="I139" s="4">
        <v>32369429</v>
      </c>
      <c r="J139" s="4">
        <v>22427939</v>
      </c>
      <c r="K139" s="4">
        <v>963730</v>
      </c>
      <c r="L139" s="4">
        <v>5466352</v>
      </c>
      <c r="M139" s="4">
        <v>697118</v>
      </c>
      <c r="N139" s="4">
        <v>933419</v>
      </c>
      <c r="O139" s="4">
        <v>4307087</v>
      </c>
      <c r="P139" s="4">
        <f t="shared" si="161"/>
        <v>11403976</v>
      </c>
      <c r="Q139" s="4">
        <v>11121314</v>
      </c>
      <c r="R139" s="4">
        <v>282662</v>
      </c>
      <c r="S139" s="27">
        <v>9198373</v>
      </c>
      <c r="T139" s="27">
        <v>9625684</v>
      </c>
      <c r="U139" s="27">
        <v>10481535</v>
      </c>
      <c r="V139" s="27">
        <v>12807622</v>
      </c>
      <c r="W139" s="27">
        <v>-308889</v>
      </c>
      <c r="X139" s="27">
        <v>2543471</v>
      </c>
      <c r="Y139" s="27">
        <v>0</v>
      </c>
      <c r="Z139" s="27">
        <v>413401</v>
      </c>
      <c r="AA139" s="27">
        <v>6555092</v>
      </c>
      <c r="AB139" s="27">
        <f t="shared" si="162"/>
        <v>9511964</v>
      </c>
      <c r="AC139" s="27">
        <v>413401</v>
      </c>
      <c r="AD139" s="27">
        <v>0</v>
      </c>
      <c r="AE139" s="27">
        <f>AC139+AD139</f>
        <v>413401</v>
      </c>
      <c r="AF139" s="27">
        <v>0</v>
      </c>
      <c r="AG139" s="27">
        <v>62796</v>
      </c>
      <c r="AH139" s="27">
        <v>57671</v>
      </c>
      <c r="AI139" s="27">
        <v>16833</v>
      </c>
      <c r="AJ139" s="26">
        <v>42186</v>
      </c>
      <c r="AK139" s="39">
        <v>0</v>
      </c>
      <c r="AL139" s="39">
        <v>685020</v>
      </c>
      <c r="AM139" s="39">
        <v>-685020</v>
      </c>
      <c r="AN139" s="40">
        <v>0</v>
      </c>
      <c r="AO139" s="40">
        <v>4.4999999999999998E-2</v>
      </c>
      <c r="AP139" s="50" t="s">
        <v>305</v>
      </c>
      <c r="AQ139" s="27">
        <v>62796</v>
      </c>
      <c r="AR139" s="27">
        <v>16833</v>
      </c>
      <c r="AS139" s="27">
        <v>23664</v>
      </c>
      <c r="AT139" s="27">
        <v>0</v>
      </c>
      <c r="AU139" s="27">
        <v>0</v>
      </c>
      <c r="AV139" s="27">
        <v>21802</v>
      </c>
      <c r="AW139" s="27">
        <v>136289</v>
      </c>
      <c r="AX139" s="27">
        <f t="shared" si="138"/>
        <v>181755</v>
      </c>
      <c r="AY139" s="27">
        <v>27313</v>
      </c>
      <c r="AZ139" s="27">
        <v>245197</v>
      </c>
      <c r="BA139" s="27">
        <v>70635</v>
      </c>
      <c r="BB139" s="27">
        <v>176016</v>
      </c>
      <c r="BC139" s="27">
        <v>136246</v>
      </c>
      <c r="BD139" s="27">
        <f t="shared" si="139"/>
        <v>655407</v>
      </c>
      <c r="BE139" s="29">
        <f t="shared" si="140"/>
        <v>5.5065005398117284E-3</v>
      </c>
      <c r="BF139" s="29">
        <f t="shared" si="141"/>
        <v>1.8882294494604226E-2</v>
      </c>
      <c r="BG139" s="29">
        <f t="shared" si="142"/>
        <v>0.83409189917621718</v>
      </c>
      <c r="BH139" s="42">
        <f>VLOOKUP(B139,Unemployment!$A$2:$F$193,6,0)</f>
        <v>-1</v>
      </c>
      <c r="BI139" s="29">
        <f>VLOOKUP(B139,Zillow!$C$11:$R$193,16,0)</f>
        <v>-7.7519379844971854E-4</v>
      </c>
      <c r="BJ139" s="5"/>
      <c r="BK139" s="6">
        <v>10</v>
      </c>
      <c r="BL139" s="6">
        <v>40</v>
      </c>
      <c r="BM139" s="6">
        <v>30</v>
      </c>
      <c r="BN139" s="6">
        <v>10</v>
      </c>
      <c r="BO139" s="6">
        <v>10</v>
      </c>
      <c r="BP139" s="5"/>
      <c r="BQ139" s="43">
        <v>0.2</v>
      </c>
      <c r="BR139" s="43">
        <v>0.02</v>
      </c>
      <c r="BS139" s="43">
        <v>2.2000000000000002</v>
      </c>
      <c r="BT139" s="44">
        <v>0.02</v>
      </c>
      <c r="BU139" s="43">
        <v>-7.0000000000000007E-2</v>
      </c>
      <c r="BV139" s="5"/>
      <c r="BW139" s="43">
        <v>0.05</v>
      </c>
      <c r="BX139" s="43">
        <v>0.32</v>
      </c>
      <c r="BY139" s="43">
        <v>0.4</v>
      </c>
      <c r="BZ139" s="44">
        <v>0</v>
      </c>
      <c r="CA139" s="43">
        <v>0.03</v>
      </c>
      <c r="CB139" s="5"/>
      <c r="CC139" s="45">
        <f t="shared" si="143"/>
        <v>-1.5000000000000003E-2</v>
      </c>
      <c r="CD139" s="45">
        <f t="shared" si="144"/>
        <v>7.4999999999999997E-3</v>
      </c>
      <c r="CE139" s="45">
        <f t="shared" si="145"/>
        <v>-6.0000000000000012E-2</v>
      </c>
      <c r="CF139" s="46">
        <f t="shared" si="146"/>
        <v>-2E-3</v>
      </c>
      <c r="CG139" s="45">
        <f t="shared" si="147"/>
        <v>0.01</v>
      </c>
      <c r="CH139" s="5"/>
      <c r="CI139" s="44">
        <f t="shared" si="148"/>
        <v>10</v>
      </c>
      <c r="CJ139" s="44">
        <f t="shared" si="149"/>
        <v>0</v>
      </c>
      <c r="CK139" s="44">
        <f t="shared" si="150"/>
        <v>22.765135013729711</v>
      </c>
      <c r="CL139" s="44">
        <f t="shared" si="151"/>
        <v>10</v>
      </c>
      <c r="CM139" s="44">
        <f t="shared" si="152"/>
        <v>6.9224806201550289</v>
      </c>
      <c r="CN139" s="47">
        <f t="shared" si="153"/>
        <v>0</v>
      </c>
      <c r="CO139" s="5"/>
      <c r="CP139" s="47">
        <f t="shared" si="154"/>
        <v>1.3006500539811731E-2</v>
      </c>
      <c r="CQ139" s="47">
        <f t="shared" si="155"/>
        <v>7.7117705505395762E-2</v>
      </c>
      <c r="CR139" s="47">
        <f t="shared" si="156"/>
        <v>1.5540918991762174</v>
      </c>
      <c r="CS139" s="47">
        <f t="shared" si="157"/>
        <v>1</v>
      </c>
      <c r="CT139" s="47">
        <f t="shared" si="158"/>
        <v>3.7751937984497183E-3</v>
      </c>
      <c r="CU139" s="47">
        <f t="shared" si="159"/>
        <v>2.6479912990198744</v>
      </c>
    </row>
    <row r="140" spans="1:99" ht="15" customHeight="1">
      <c r="A140" s="5"/>
      <c r="B140" s="37" t="s">
        <v>45</v>
      </c>
      <c r="C140" s="37" t="s">
        <v>252</v>
      </c>
      <c r="D140" s="37" t="s">
        <v>258</v>
      </c>
      <c r="E140" s="26">
        <v>42551</v>
      </c>
      <c r="F140" s="38">
        <f t="shared" si="135"/>
        <v>66.230464355902484</v>
      </c>
      <c r="G140" s="4">
        <v>23583698</v>
      </c>
      <c r="H140" s="4">
        <v>3031163</v>
      </c>
      <c r="I140" s="4">
        <v>144118448</v>
      </c>
      <c r="J140" s="4">
        <v>92862200</v>
      </c>
      <c r="K140" s="4">
        <v>5932535</v>
      </c>
      <c r="L140" s="4">
        <v>26130465</v>
      </c>
      <c r="M140" s="4">
        <v>0</v>
      </c>
      <c r="N140" s="4">
        <v>4571407</v>
      </c>
      <c r="O140" s="4">
        <v>16846611</v>
      </c>
      <c r="P140" s="4">
        <v>47548483</v>
      </c>
      <c r="Q140" s="4">
        <v>47860650</v>
      </c>
      <c r="R140" s="4">
        <v>-312167</v>
      </c>
      <c r="S140" s="27">
        <v>42323060</v>
      </c>
      <c r="T140" s="27">
        <v>47367764</v>
      </c>
      <c r="U140" s="27">
        <v>45451764</v>
      </c>
      <c r="V140" s="27">
        <v>67277834</v>
      </c>
      <c r="W140" s="27">
        <v>-14444236</v>
      </c>
      <c r="X140" s="27">
        <v>9361882</v>
      </c>
      <c r="Y140" s="27">
        <v>8284202</v>
      </c>
      <c r="Z140" s="27">
        <v>1897900</v>
      </c>
      <c r="AA140" s="27">
        <v>30229930</v>
      </c>
      <c r="AB140" s="27">
        <v>49773914</v>
      </c>
      <c r="AC140" s="27">
        <v>1897900</v>
      </c>
      <c r="AD140" s="27">
        <v>0</v>
      </c>
      <c r="AE140" s="27">
        <v>1897900</v>
      </c>
      <c r="AF140" s="27">
        <v>0</v>
      </c>
      <c r="AG140" s="27">
        <v>417200</v>
      </c>
      <c r="AH140" s="27">
        <v>396300</v>
      </c>
      <c r="AI140" s="27">
        <v>18000</v>
      </c>
      <c r="AJ140" s="26">
        <v>42005</v>
      </c>
      <c r="AK140" s="39">
        <v>0</v>
      </c>
      <c r="AL140" s="39">
        <v>5215300</v>
      </c>
      <c r="AM140" s="39">
        <v>5215300</v>
      </c>
      <c r="AN140" s="40">
        <v>0</v>
      </c>
      <c r="AO140" s="40">
        <v>3.7499999999999999E-2</v>
      </c>
      <c r="AP140" s="50" t="s">
        <v>306</v>
      </c>
      <c r="AQ140" s="27">
        <v>1109486</v>
      </c>
      <c r="AR140" s="27">
        <v>1129644</v>
      </c>
      <c r="AS140" s="27">
        <v>0</v>
      </c>
      <c r="AT140" s="27">
        <v>25347</v>
      </c>
      <c r="AU140" s="27">
        <v>0</v>
      </c>
      <c r="AV140" s="27">
        <v>988270</v>
      </c>
      <c r="AW140" s="27">
        <v>5731816</v>
      </c>
      <c r="AX140" s="27">
        <v>6745433</v>
      </c>
      <c r="AY140" s="27">
        <v>199575</v>
      </c>
      <c r="AZ140" s="27">
        <v>4609741</v>
      </c>
      <c r="BA140" s="27">
        <v>2395571</v>
      </c>
      <c r="BB140" s="27">
        <v>1529557</v>
      </c>
      <c r="BC140" s="27">
        <v>5731816</v>
      </c>
      <c r="BD140" s="27">
        <v>14466260</v>
      </c>
      <c r="BE140" s="29">
        <f t="shared" si="140"/>
        <v>2.3333783330164289E-2</v>
      </c>
      <c r="BF140" s="29">
        <f t="shared" si="141"/>
        <v>0.14240556087891335</v>
      </c>
      <c r="BG140" s="29">
        <f t="shared" si="142"/>
        <v>0.87257698631521008</v>
      </c>
      <c r="BH140" s="42">
        <f>VLOOKUP(B140,Unemployment!$A$2:$F$193,6,0)</f>
        <v>-0.69999999999999929</v>
      </c>
      <c r="BI140" s="52">
        <f>VLOOKUP(VLOOKUP(B140,Counties!$A$20:$E$189,2,0),Zillow!$C$3:$R$10,16,0)</f>
        <v>7.8600601063419911E-3</v>
      </c>
      <c r="BJ140" s="5"/>
      <c r="BK140" s="6">
        <v>10</v>
      </c>
      <c r="BL140" s="6">
        <v>40</v>
      </c>
      <c r="BM140" s="6">
        <v>30</v>
      </c>
      <c r="BN140" s="6">
        <v>10</v>
      </c>
      <c r="BO140" s="6">
        <v>10</v>
      </c>
      <c r="BP140" s="5"/>
      <c r="BQ140" s="43">
        <v>0.2</v>
      </c>
      <c r="BR140" s="43">
        <v>0.02</v>
      </c>
      <c r="BS140" s="43">
        <v>2.2000000000000002</v>
      </c>
      <c r="BT140" s="44">
        <v>0.02</v>
      </c>
      <c r="BU140" s="43">
        <v>-7.0000000000000007E-2</v>
      </c>
      <c r="BV140" s="5"/>
      <c r="BW140" s="43">
        <v>0.05</v>
      </c>
      <c r="BX140" s="43">
        <v>0.32</v>
      </c>
      <c r="BY140" s="43">
        <v>0.4</v>
      </c>
      <c r="BZ140" s="44">
        <v>0</v>
      </c>
      <c r="CA140" s="43">
        <v>0.03</v>
      </c>
      <c r="CB140" s="5"/>
      <c r="CC140" s="45">
        <f t="shared" si="143"/>
        <v>-1.5000000000000003E-2</v>
      </c>
      <c r="CD140" s="45">
        <f t="shared" si="144"/>
        <v>7.4999999999999997E-3</v>
      </c>
      <c r="CE140" s="45">
        <f t="shared" si="145"/>
        <v>-6.0000000000000012E-2</v>
      </c>
      <c r="CF140" s="46">
        <f t="shared" si="146"/>
        <v>-2E-3</v>
      </c>
      <c r="CG140" s="45">
        <f t="shared" si="147"/>
        <v>0.01</v>
      </c>
      <c r="CH140" s="5"/>
      <c r="CI140" s="44">
        <f t="shared" si="148"/>
        <v>10</v>
      </c>
      <c r="CJ140" s="44">
        <f t="shared" si="149"/>
        <v>16.32074145052178</v>
      </c>
      <c r="CK140" s="44">
        <f t="shared" si="150"/>
        <v>22.123716894746501</v>
      </c>
      <c r="CL140" s="44">
        <f t="shared" si="151"/>
        <v>10</v>
      </c>
      <c r="CM140" s="44">
        <f t="shared" si="152"/>
        <v>7.7860060106341997</v>
      </c>
      <c r="CN140" s="47">
        <f t="shared" si="153"/>
        <v>0</v>
      </c>
      <c r="CO140" s="5"/>
      <c r="CP140" s="47">
        <f t="shared" si="154"/>
        <v>3.0833783330164292E-2</v>
      </c>
      <c r="CQ140" s="47">
        <f t="shared" si="155"/>
        <v>4.6405560878913357E-2</v>
      </c>
      <c r="CR140" s="47">
        <f t="shared" si="156"/>
        <v>1.5925769863152102</v>
      </c>
      <c r="CS140" s="47">
        <f t="shared" si="157"/>
        <v>0.69999999999999929</v>
      </c>
      <c r="CT140" s="47">
        <f t="shared" si="158"/>
        <v>4.8600601063419919E-3</v>
      </c>
      <c r="CU140" s="47">
        <f t="shared" si="159"/>
        <v>2.3746763906306292</v>
      </c>
    </row>
    <row r="141" spans="1:99" ht="15" customHeight="1">
      <c r="A141" s="5"/>
      <c r="B141" s="37" t="s">
        <v>8</v>
      </c>
      <c r="C141" s="37" t="s">
        <v>252</v>
      </c>
      <c r="D141" s="37" t="s">
        <v>258</v>
      </c>
      <c r="E141" s="26">
        <v>42551</v>
      </c>
      <c r="F141" s="38">
        <f t="shared" si="135"/>
        <v>53.335079763756035</v>
      </c>
      <c r="G141" s="4">
        <v>306048009</v>
      </c>
      <c r="H141" s="4">
        <v>52864639</v>
      </c>
      <c r="I141" s="4">
        <v>1222362752</v>
      </c>
      <c r="J141" s="4">
        <v>332525044</v>
      </c>
      <c r="K141" s="4">
        <v>-128948420</v>
      </c>
      <c r="L141" s="4">
        <v>490038825</v>
      </c>
      <c r="M141" s="4">
        <v>22553166</v>
      </c>
      <c r="N141" s="4">
        <v>82632668</v>
      </c>
      <c r="O141" s="4">
        <v>91605712</v>
      </c>
      <c r="P141" s="4">
        <v>686830371</v>
      </c>
      <c r="Q141" s="37" t="s">
        <v>307</v>
      </c>
      <c r="R141" s="4">
        <v>15951565</v>
      </c>
      <c r="S141" s="27">
        <v>556311786</v>
      </c>
      <c r="T141" s="27">
        <v>507886110</v>
      </c>
      <c r="U141" s="27">
        <v>648582959</v>
      </c>
      <c r="V141" s="27">
        <v>688949398</v>
      </c>
      <c r="W141" s="27">
        <v>-342796</v>
      </c>
      <c r="X141" s="27">
        <v>67057376</v>
      </c>
      <c r="Y141" s="27">
        <v>209182246</v>
      </c>
      <c r="Z141" s="27">
        <v>68206000</v>
      </c>
      <c r="AA141" s="27">
        <v>564453149</v>
      </c>
      <c r="AB141" s="27">
        <v>908898771</v>
      </c>
      <c r="AC141" s="27">
        <v>67301000</v>
      </c>
      <c r="AD141" s="27">
        <v>905000</v>
      </c>
      <c r="AE141" s="27">
        <v>68206000</v>
      </c>
      <c r="AF141" s="27">
        <v>0</v>
      </c>
      <c r="AG141" s="27">
        <v>27078000</v>
      </c>
      <c r="AH141" s="27">
        <v>27034000</v>
      </c>
      <c r="AI141" s="27">
        <v>21633000</v>
      </c>
      <c r="AJ141" s="26">
        <v>42186</v>
      </c>
      <c r="AK141" s="39">
        <v>57480000</v>
      </c>
      <c r="AL141" s="39">
        <v>294239000</v>
      </c>
      <c r="AM141" s="39">
        <v>-236759000</v>
      </c>
      <c r="AN141" s="40">
        <v>0.2</v>
      </c>
      <c r="AO141" s="40">
        <v>7.4999999999999997E-2</v>
      </c>
      <c r="AP141" s="40">
        <v>0.03</v>
      </c>
      <c r="AQ141" s="27">
        <v>19727000</v>
      </c>
      <c r="AR141" s="27">
        <v>19760461</v>
      </c>
      <c r="AS141" s="27">
        <v>3500714</v>
      </c>
      <c r="AT141" s="27">
        <v>0</v>
      </c>
      <c r="AU141" s="27">
        <v>3810091</v>
      </c>
      <c r="AV141" s="27">
        <v>32902500</v>
      </c>
      <c r="AW141" s="27">
        <v>1421310</v>
      </c>
      <c r="AX141" s="27">
        <v>41634615</v>
      </c>
      <c r="AY141" s="27">
        <v>11500952</v>
      </c>
      <c r="AZ141" s="27">
        <v>94561145</v>
      </c>
      <c r="BA141" s="27">
        <v>3810091</v>
      </c>
      <c r="BB141" s="27">
        <v>34117912</v>
      </c>
      <c r="BC141" s="27">
        <v>156076</v>
      </c>
      <c r="BD141" s="27">
        <v>144146176</v>
      </c>
      <c r="BE141" s="29">
        <f t="shared" si="140"/>
        <v>2.8721793375674706E-2</v>
      </c>
      <c r="BF141" s="29">
        <f t="shared" si="141"/>
        <v>8.1976282044807253E-2</v>
      </c>
      <c r="BG141" s="29">
        <f t="shared" si="142"/>
        <v>1.0187617708011925</v>
      </c>
      <c r="BH141" s="42">
        <f>VLOOKUP(B141,Unemployment!$A$2:$F$193,6,0)</f>
        <v>-0.5</v>
      </c>
      <c r="BI141" s="29">
        <f>VLOOKUP(B141,Zillow!$C$11:$R$193,16,0)</f>
        <v>-1.6157283288650539E-2</v>
      </c>
      <c r="BJ141" s="5"/>
      <c r="BK141" s="6">
        <v>10</v>
      </c>
      <c r="BL141" s="6">
        <v>40</v>
      </c>
      <c r="BM141" s="6">
        <v>30</v>
      </c>
      <c r="BN141" s="6">
        <v>10</v>
      </c>
      <c r="BO141" s="6">
        <v>10</v>
      </c>
      <c r="BP141" s="5"/>
      <c r="BQ141" s="43">
        <v>0.2</v>
      </c>
      <c r="BR141" s="43">
        <v>0.02</v>
      </c>
      <c r="BS141" s="43">
        <v>2.2000000000000002</v>
      </c>
      <c r="BT141" s="44">
        <v>0.02</v>
      </c>
      <c r="BU141" s="43">
        <v>-7.0000000000000007E-2</v>
      </c>
      <c r="BV141" s="5"/>
      <c r="BW141" s="43">
        <v>0.05</v>
      </c>
      <c r="BX141" s="43">
        <v>0.32</v>
      </c>
      <c r="BY141" s="43">
        <v>0.4</v>
      </c>
      <c r="BZ141" s="44">
        <v>0</v>
      </c>
      <c r="CA141" s="43">
        <v>0.03</v>
      </c>
      <c r="CB141" s="5"/>
      <c r="CC141" s="45">
        <f t="shared" si="143"/>
        <v>-1.5000000000000003E-2</v>
      </c>
      <c r="CD141" s="45">
        <f t="shared" si="144"/>
        <v>7.4999999999999997E-3</v>
      </c>
      <c r="CE141" s="45">
        <f t="shared" si="145"/>
        <v>-6.0000000000000012E-2</v>
      </c>
      <c r="CF141" s="46">
        <f t="shared" si="146"/>
        <v>-2E-3</v>
      </c>
      <c r="CG141" s="45">
        <f t="shared" si="147"/>
        <v>0.01</v>
      </c>
      <c r="CH141" s="5"/>
      <c r="CI141" s="44">
        <f t="shared" si="148"/>
        <v>10</v>
      </c>
      <c r="CJ141" s="44">
        <f t="shared" si="149"/>
        <v>8.2635042726409669</v>
      </c>
      <c r="CK141" s="44">
        <f t="shared" si="150"/>
        <v>19.687303819980126</v>
      </c>
      <c r="CL141" s="44">
        <f t="shared" si="151"/>
        <v>10</v>
      </c>
      <c r="CM141" s="44">
        <f t="shared" si="152"/>
        <v>5.3842716711349459</v>
      </c>
      <c r="CN141" s="47">
        <f t="shared" si="153"/>
        <v>0</v>
      </c>
      <c r="CO141" s="5"/>
      <c r="CP141" s="47">
        <f t="shared" si="154"/>
        <v>3.6221793375674709E-2</v>
      </c>
      <c r="CQ141" s="47">
        <f t="shared" si="155"/>
        <v>1.4023717955192735E-2</v>
      </c>
      <c r="CR141" s="47">
        <f t="shared" si="156"/>
        <v>1.7387617708011927</v>
      </c>
      <c r="CS141" s="47">
        <f t="shared" si="157"/>
        <v>0.5</v>
      </c>
      <c r="CT141" s="47">
        <f t="shared" si="158"/>
        <v>1.9157283288650538E-2</v>
      </c>
      <c r="CU141" s="47">
        <f t="shared" si="159"/>
        <v>2.3081645654207108</v>
      </c>
    </row>
    <row r="142" spans="1:99" ht="15" customHeight="1">
      <c r="A142" s="5"/>
      <c r="B142" s="37" t="s">
        <v>161</v>
      </c>
      <c r="C142" s="37" t="s">
        <v>252</v>
      </c>
      <c r="D142" s="37" t="s">
        <v>255</v>
      </c>
      <c r="E142" s="26">
        <v>42551</v>
      </c>
      <c r="F142" s="38">
        <f t="shared" si="135"/>
        <v>92.726255519958386</v>
      </c>
      <c r="G142" s="4">
        <f>37365290-28287763-3065575</f>
        <v>6011952</v>
      </c>
      <c r="H142" s="4">
        <f>11417886-10223710-663467</f>
        <v>530709</v>
      </c>
      <c r="I142" s="4">
        <v>37365290</v>
      </c>
      <c r="J142" s="4">
        <v>26352050</v>
      </c>
      <c r="K142" s="4">
        <v>2332634</v>
      </c>
      <c r="L142" s="4">
        <v>7509929</v>
      </c>
      <c r="M142" s="4">
        <v>215860</v>
      </c>
      <c r="N142" s="4">
        <v>560372</v>
      </c>
      <c r="O142" s="4">
        <v>4730166</v>
      </c>
      <c r="P142" s="4">
        <f>L142+M142+N142+O142</f>
        <v>13016327</v>
      </c>
      <c r="Q142" s="4">
        <v>12802579</v>
      </c>
      <c r="R142" s="4">
        <v>213748</v>
      </c>
      <c r="S142" s="27">
        <v>11796071</v>
      </c>
      <c r="T142" s="27">
        <v>11023758</v>
      </c>
      <c r="U142" s="27">
        <v>12702196</v>
      </c>
      <c r="V142" s="27">
        <v>11920069</v>
      </c>
      <c r="W142" s="27">
        <v>780238</v>
      </c>
      <c r="X142" s="27">
        <v>663467</v>
      </c>
      <c r="Y142" s="27">
        <v>0</v>
      </c>
      <c r="Z142" s="27">
        <v>2948919</v>
      </c>
      <c r="AA142" s="27">
        <f>10887177-2948919-663467</f>
        <v>7274791</v>
      </c>
      <c r="AB142" s="27">
        <f>SUM(X142:AA142)</f>
        <v>10887177</v>
      </c>
      <c r="AC142" s="27">
        <v>2948919</v>
      </c>
      <c r="AD142" s="27">
        <v>0</v>
      </c>
      <c r="AE142" s="27">
        <f t="shared" ref="AE142:AE151" si="163">AC142+AD142</f>
        <v>2948919</v>
      </c>
      <c r="AF142" s="27">
        <v>0</v>
      </c>
      <c r="AG142" s="27">
        <v>412320</v>
      </c>
      <c r="AH142" s="27">
        <v>392555</v>
      </c>
      <c r="AI142" s="27">
        <v>64069</v>
      </c>
      <c r="AJ142" s="26">
        <v>42551</v>
      </c>
      <c r="AK142" s="39">
        <v>0</v>
      </c>
      <c r="AL142" s="39">
        <v>5119770</v>
      </c>
      <c r="AM142" s="39">
        <f t="shared" ref="AM142:AM152" si="164">AL142-AK142</f>
        <v>5119770</v>
      </c>
      <c r="AN142" s="40">
        <v>0</v>
      </c>
      <c r="AO142" s="40">
        <v>0.04</v>
      </c>
      <c r="AP142" s="50" t="s">
        <v>308</v>
      </c>
      <c r="AQ142" s="27"/>
      <c r="AR142" s="27"/>
      <c r="AS142" s="27">
        <v>0</v>
      </c>
      <c r="AT142" s="27">
        <v>19771</v>
      </c>
      <c r="AU142" s="27">
        <v>0</v>
      </c>
      <c r="AV142" s="27">
        <v>29138</v>
      </c>
      <c r="AW142" s="27">
        <v>4210211</v>
      </c>
      <c r="AX142" s="27">
        <f t="shared" ref="AX142:AX156" si="165">AS142+AT142+AU142+AV142+AW142</f>
        <v>4259120</v>
      </c>
      <c r="AY142" s="27">
        <v>108870</v>
      </c>
      <c r="AZ142" s="27">
        <v>600206</v>
      </c>
      <c r="BA142" s="27">
        <v>201975</v>
      </c>
      <c r="BB142" s="27">
        <v>461881</v>
      </c>
      <c r="BC142" s="27">
        <v>4003455</v>
      </c>
      <c r="BD142" s="27">
        <f t="shared" ref="BD142:BD156" si="166">AY142+AZ142+BA142+BB142+BC142</f>
        <v>5376387</v>
      </c>
      <c r="BE142" s="29">
        <f t="shared" si="140"/>
        <v>0</v>
      </c>
      <c r="BF142" s="29">
        <f t="shared" si="141"/>
        <v>0.38635826367015674</v>
      </c>
      <c r="BG142" s="29">
        <f t="shared" si="142"/>
        <v>0.836424668802497</v>
      </c>
      <c r="BH142" s="42">
        <f>VLOOKUP(B142,Unemployment!$A$2:$F$193,6,0)</f>
        <v>-1.3000000000000007</v>
      </c>
      <c r="BI142" s="29">
        <f>VLOOKUP(B142,Zillow!$C$11:$R$193,16,0)</f>
        <v>5.9286008136399178E-2</v>
      </c>
      <c r="BJ142" s="5"/>
      <c r="BK142" s="6">
        <v>10</v>
      </c>
      <c r="BL142" s="6">
        <v>40</v>
      </c>
      <c r="BM142" s="6">
        <v>30</v>
      </c>
      <c r="BN142" s="6">
        <v>10</v>
      </c>
      <c r="BO142" s="6">
        <v>10</v>
      </c>
      <c r="BP142" s="5"/>
      <c r="BQ142" s="43">
        <v>0.2</v>
      </c>
      <c r="BR142" s="43">
        <v>0.02</v>
      </c>
      <c r="BS142" s="43">
        <v>2.2000000000000002</v>
      </c>
      <c r="BT142" s="44">
        <v>0.02</v>
      </c>
      <c r="BU142" s="43">
        <v>-7.0000000000000007E-2</v>
      </c>
      <c r="BV142" s="5"/>
      <c r="BW142" s="43">
        <v>0.05</v>
      </c>
      <c r="BX142" s="43">
        <v>0.32</v>
      </c>
      <c r="BY142" s="43">
        <v>0.4</v>
      </c>
      <c r="BZ142" s="44">
        <v>0</v>
      </c>
      <c r="CA142" s="43">
        <v>0.03</v>
      </c>
      <c r="CB142" s="5"/>
      <c r="CC142" s="45">
        <f t="shared" si="143"/>
        <v>-1.5000000000000003E-2</v>
      </c>
      <c r="CD142" s="45">
        <f t="shared" si="144"/>
        <v>7.4999999999999997E-3</v>
      </c>
      <c r="CE142" s="45">
        <f t="shared" si="145"/>
        <v>-6.0000000000000012E-2</v>
      </c>
      <c r="CF142" s="46">
        <f t="shared" si="146"/>
        <v>-2E-3</v>
      </c>
      <c r="CG142" s="45">
        <f t="shared" si="147"/>
        <v>0.01</v>
      </c>
      <c r="CH142" s="5"/>
      <c r="CI142" s="44">
        <f t="shared" si="148"/>
        <v>10</v>
      </c>
      <c r="CJ142" s="44">
        <f t="shared" si="149"/>
        <v>40</v>
      </c>
      <c r="CK142" s="44">
        <f t="shared" si="150"/>
        <v>22.726255519958382</v>
      </c>
      <c r="CL142" s="44">
        <f t="shared" si="151"/>
        <v>10</v>
      </c>
      <c r="CM142" s="44">
        <f t="shared" si="152"/>
        <v>10</v>
      </c>
      <c r="CN142" s="47">
        <f t="shared" si="153"/>
        <v>0</v>
      </c>
      <c r="CO142" s="5"/>
      <c r="CP142" s="47">
        <f t="shared" si="154"/>
        <v>7.5000000000000023E-3</v>
      </c>
      <c r="CQ142" s="47">
        <f t="shared" si="155"/>
        <v>0.29035826367015677</v>
      </c>
      <c r="CR142" s="47">
        <f t="shared" si="156"/>
        <v>1.5564246688024972</v>
      </c>
      <c r="CS142" s="47">
        <f t="shared" si="157"/>
        <v>1.3000000000000007</v>
      </c>
      <c r="CT142" s="47">
        <f t="shared" si="158"/>
        <v>5.6286008136399175E-2</v>
      </c>
      <c r="CU142" s="47">
        <f t="shared" si="159"/>
        <v>3.2105689406090541</v>
      </c>
    </row>
    <row r="143" spans="1:99" ht="15" customHeight="1">
      <c r="A143" s="5"/>
      <c r="B143" s="37" t="s">
        <v>147</v>
      </c>
      <c r="C143" s="37" t="s">
        <v>252</v>
      </c>
      <c r="D143" s="37" t="s">
        <v>255</v>
      </c>
      <c r="E143" s="26">
        <v>42551</v>
      </c>
      <c r="F143" s="38">
        <f t="shared" si="135"/>
        <v>83.473035154818277</v>
      </c>
      <c r="G143" s="4">
        <v>30503411</v>
      </c>
      <c r="H143" s="4">
        <v>8349444</v>
      </c>
      <c r="I143" s="4">
        <v>162752220</v>
      </c>
      <c r="J143" s="4">
        <v>114460247</v>
      </c>
      <c r="K143" s="4">
        <v>22328420</v>
      </c>
      <c r="L143" s="4">
        <v>56824138</v>
      </c>
      <c r="M143" s="4">
        <v>427362</v>
      </c>
      <c r="N143" s="4">
        <v>6645188</v>
      </c>
      <c r="O143" s="4">
        <v>6731104</v>
      </c>
      <c r="P143" s="4">
        <f>SUM(L143:O143)</f>
        <v>70627792</v>
      </c>
      <c r="Q143" s="4">
        <v>69970998</v>
      </c>
      <c r="R143" s="4">
        <f>P143-Q143</f>
        <v>656794</v>
      </c>
      <c r="S143" s="27">
        <v>65993278</v>
      </c>
      <c r="T143" s="27">
        <v>62670703</v>
      </c>
      <c r="U143" s="27">
        <v>71339731</v>
      </c>
      <c r="V143" s="27">
        <v>71756765</v>
      </c>
      <c r="W143" s="27">
        <v>1218014</v>
      </c>
      <c r="X143" s="27">
        <v>4172562</v>
      </c>
      <c r="Y143" s="27">
        <v>4878508</v>
      </c>
      <c r="Z143" s="27">
        <v>99418</v>
      </c>
      <c r="AA143" s="27">
        <f>48622391-Z143-Y143-X143</f>
        <v>39471903</v>
      </c>
      <c r="AB143" s="27">
        <f>X143+Y143+Z143+AA143</f>
        <v>48622391</v>
      </c>
      <c r="AC143" s="27">
        <v>99418</v>
      </c>
      <c r="AD143" s="27">
        <v>0</v>
      </c>
      <c r="AE143" s="27">
        <f t="shared" si="163"/>
        <v>99418</v>
      </c>
      <c r="AF143" s="27">
        <v>0</v>
      </c>
      <c r="AG143" s="27">
        <v>431821</v>
      </c>
      <c r="AH143" s="27">
        <v>431978</v>
      </c>
      <c r="AI143" s="27">
        <v>349443</v>
      </c>
      <c r="AJ143" s="26">
        <v>41456</v>
      </c>
      <c r="AK143" s="39">
        <v>679426</v>
      </c>
      <c r="AL143" s="39">
        <v>5200625</v>
      </c>
      <c r="AM143" s="39">
        <f t="shared" si="164"/>
        <v>4521199</v>
      </c>
      <c r="AN143" s="40">
        <v>0.13100000000000001</v>
      </c>
      <c r="AO143" s="40">
        <v>7.4999999999999997E-2</v>
      </c>
      <c r="AP143" s="50" t="s">
        <v>309</v>
      </c>
      <c r="AQ143" s="27">
        <v>494982</v>
      </c>
      <c r="AR143" s="27">
        <v>494982</v>
      </c>
      <c r="AS143" s="27">
        <v>0</v>
      </c>
      <c r="AT143" s="27">
        <v>0</v>
      </c>
      <c r="AU143" s="27">
        <v>0</v>
      </c>
      <c r="AV143" s="27">
        <v>854412</v>
      </c>
      <c r="AW143" s="27">
        <v>14334927</v>
      </c>
      <c r="AX143" s="27">
        <f t="shared" si="165"/>
        <v>15189339</v>
      </c>
      <c r="AY143" s="27">
        <v>0</v>
      </c>
      <c r="AZ143" s="27">
        <v>1556418</v>
      </c>
      <c r="BA143" s="27">
        <v>4045248</v>
      </c>
      <c r="BB143" s="27">
        <v>1828892</v>
      </c>
      <c r="BC143" s="27">
        <v>14334927</v>
      </c>
      <c r="BD143" s="27">
        <f t="shared" si="166"/>
        <v>21765485</v>
      </c>
      <c r="BE143" s="29">
        <f t="shared" si="140"/>
        <v>7.0083176322431259E-3</v>
      </c>
      <c r="BF143" s="29">
        <f t="shared" si="141"/>
        <v>0.24236745836407803</v>
      </c>
      <c r="BG143" s="29">
        <f t="shared" si="142"/>
        <v>0.61935792924122557</v>
      </c>
      <c r="BH143" s="42">
        <f>VLOOKUP(B143,Unemployment!$A$2:$F$193,6,0)</f>
        <v>-0.90000000000000036</v>
      </c>
      <c r="BI143" s="52">
        <f>VLOOKUP(VLOOKUP(B143,Counties!$A$20:$E$189,2,0),Zillow!$C$3:$R$10,16,0)</f>
        <v>4.8000619362829587E-3</v>
      </c>
      <c r="BJ143" s="5"/>
      <c r="BK143" s="6">
        <v>10</v>
      </c>
      <c r="BL143" s="6">
        <v>40</v>
      </c>
      <c r="BM143" s="6">
        <v>30</v>
      </c>
      <c r="BN143" s="6">
        <v>10</v>
      </c>
      <c r="BO143" s="6">
        <v>10</v>
      </c>
      <c r="BP143" s="5"/>
      <c r="BQ143" s="43">
        <v>0.2</v>
      </c>
      <c r="BR143" s="43">
        <v>0.02</v>
      </c>
      <c r="BS143" s="43">
        <v>2.2000000000000002</v>
      </c>
      <c r="BT143" s="44">
        <v>0.02</v>
      </c>
      <c r="BU143" s="43">
        <v>-7.0000000000000007E-2</v>
      </c>
      <c r="BV143" s="5"/>
      <c r="BW143" s="43">
        <v>0.05</v>
      </c>
      <c r="BX143" s="43">
        <v>0.32</v>
      </c>
      <c r="BY143" s="43">
        <v>0.4</v>
      </c>
      <c r="BZ143" s="44">
        <v>0</v>
      </c>
      <c r="CA143" s="43">
        <v>0.03</v>
      </c>
      <c r="CB143" s="5"/>
      <c r="CC143" s="45">
        <f t="shared" si="143"/>
        <v>-1.5000000000000003E-2</v>
      </c>
      <c r="CD143" s="45">
        <f t="shared" si="144"/>
        <v>7.4999999999999997E-3</v>
      </c>
      <c r="CE143" s="45">
        <f t="shared" si="145"/>
        <v>-6.0000000000000012E-2</v>
      </c>
      <c r="CF143" s="46">
        <f t="shared" si="146"/>
        <v>-2E-3</v>
      </c>
      <c r="CG143" s="45">
        <f t="shared" si="147"/>
        <v>0.01</v>
      </c>
      <c r="CH143" s="5"/>
      <c r="CI143" s="44">
        <f t="shared" si="148"/>
        <v>10</v>
      </c>
      <c r="CJ143" s="44">
        <f t="shared" si="149"/>
        <v>29.648994448543739</v>
      </c>
      <c r="CK143" s="44">
        <f t="shared" si="150"/>
        <v>26.344034512646235</v>
      </c>
      <c r="CL143" s="44">
        <f t="shared" si="151"/>
        <v>10</v>
      </c>
      <c r="CM143" s="44">
        <f t="shared" si="152"/>
        <v>7.4800061936282969</v>
      </c>
      <c r="CN143" s="47">
        <f t="shared" si="153"/>
        <v>0</v>
      </c>
      <c r="CO143" s="5"/>
      <c r="CP143" s="47">
        <f t="shared" si="154"/>
        <v>1.4508317632243129E-2</v>
      </c>
      <c r="CQ143" s="47">
        <f t="shared" si="155"/>
        <v>0.14636745836407805</v>
      </c>
      <c r="CR143" s="47">
        <f t="shared" si="156"/>
        <v>1.3393579292412259</v>
      </c>
      <c r="CS143" s="47">
        <f t="shared" si="157"/>
        <v>0.90000000000000036</v>
      </c>
      <c r="CT143" s="47">
        <f t="shared" si="158"/>
        <v>1.8000619362829591E-3</v>
      </c>
      <c r="CU143" s="47">
        <f t="shared" si="159"/>
        <v>2.4020337671738305</v>
      </c>
    </row>
    <row r="144" spans="1:99" ht="15" customHeight="1">
      <c r="A144" s="5"/>
      <c r="B144" s="37" t="s">
        <v>2</v>
      </c>
      <c r="C144" s="37" t="s">
        <v>252</v>
      </c>
      <c r="D144" s="37" t="s">
        <v>255</v>
      </c>
      <c r="E144" s="26">
        <v>42551</v>
      </c>
      <c r="F144" s="38">
        <f t="shared" si="135"/>
        <v>36.434635832401227</v>
      </c>
      <c r="G144" s="4">
        <f>298755224-217587090-24537190</f>
        <v>56630944</v>
      </c>
      <c r="H144" s="4">
        <f>507900536-468580508-26246962</f>
        <v>13073066</v>
      </c>
      <c r="I144" s="4">
        <v>298755224</v>
      </c>
      <c r="J144" s="4">
        <v>-188702095</v>
      </c>
      <c r="K144" s="4">
        <v>-288156448</v>
      </c>
      <c r="L144" s="4">
        <v>168308993</v>
      </c>
      <c r="M144" s="4">
        <v>4965417</v>
      </c>
      <c r="N144" s="4">
        <v>24937933</v>
      </c>
      <c r="O144" s="4">
        <v>45265915</v>
      </c>
      <c r="P144" s="4">
        <f>SUM(L144:O144)</f>
        <v>243478258</v>
      </c>
      <c r="Q144" s="4">
        <v>264029999</v>
      </c>
      <c r="R144" s="4">
        <v>-20551741</v>
      </c>
      <c r="S144" s="27">
        <v>214593744</v>
      </c>
      <c r="T144" s="27">
        <v>217361854</v>
      </c>
      <c r="U144" s="27">
        <v>228449405</v>
      </c>
      <c r="V144" s="27">
        <v>246941541</v>
      </c>
      <c r="W144" s="27">
        <v>-671516</v>
      </c>
      <c r="X144" s="27">
        <f>23685119+2561843</f>
        <v>26246962</v>
      </c>
      <c r="Y144" s="27">
        <v>68333836</v>
      </c>
      <c r="Z144" s="27">
        <v>68686600</v>
      </c>
      <c r="AA144" s="27">
        <f>AB144-SUM(X144:Z144)</f>
        <v>331560072</v>
      </c>
      <c r="AB144" s="27">
        <f>458971197+35856273</f>
        <v>494827470</v>
      </c>
      <c r="AC144" s="27">
        <v>68686600</v>
      </c>
      <c r="AD144" s="27">
        <v>0</v>
      </c>
      <c r="AE144" s="27">
        <f t="shared" si="163"/>
        <v>68686600</v>
      </c>
      <c r="AF144" s="27">
        <v>0</v>
      </c>
      <c r="AG144" s="27">
        <v>19699700</v>
      </c>
      <c r="AH144" s="27">
        <v>19400100</v>
      </c>
      <c r="AI144" s="27">
        <v>8139200</v>
      </c>
      <c r="AJ144" s="26">
        <v>41821</v>
      </c>
      <c r="AK144" s="39">
        <f>2054000+1338000</f>
        <v>3392000</v>
      </c>
      <c r="AL144" s="39">
        <f>138009000+101818000</f>
        <v>239827000</v>
      </c>
      <c r="AM144" s="39">
        <f t="shared" si="164"/>
        <v>236435000</v>
      </c>
      <c r="AN144" s="40">
        <f>AK144/AL144</f>
        <v>1.4143528460098321E-2</v>
      </c>
      <c r="AO144" s="40">
        <v>0.04</v>
      </c>
      <c r="AP144" s="50" t="s">
        <v>310</v>
      </c>
      <c r="AQ144" s="27">
        <v>5212079</v>
      </c>
      <c r="AR144" s="27">
        <v>5393200</v>
      </c>
      <c r="AS144" s="27">
        <v>1071115</v>
      </c>
      <c r="AT144" s="27">
        <v>0</v>
      </c>
      <c r="AU144" s="27">
        <v>0</v>
      </c>
      <c r="AV144" s="27">
        <v>16710</v>
      </c>
      <c r="AW144" s="27">
        <v>7237796</v>
      </c>
      <c r="AX144" s="27">
        <f t="shared" si="165"/>
        <v>8325621</v>
      </c>
      <c r="AY144" s="27">
        <v>1107601</v>
      </c>
      <c r="AZ144" s="27">
        <v>3153620</v>
      </c>
      <c r="BA144" s="27">
        <v>7029725</v>
      </c>
      <c r="BB144" s="27">
        <v>16710</v>
      </c>
      <c r="BC144" s="27">
        <v>5967598</v>
      </c>
      <c r="BD144" s="27">
        <f t="shared" si="166"/>
        <v>17275254</v>
      </c>
      <c r="BE144" s="29">
        <f t="shared" si="140"/>
        <v>2.1406753288008163E-2</v>
      </c>
      <c r="BF144" s="29">
        <f t="shared" si="141"/>
        <v>3.8303045574868903E-2</v>
      </c>
      <c r="BG144" s="29">
        <f t="shared" si="142"/>
        <v>1.7516703031446856</v>
      </c>
      <c r="BH144" s="42">
        <f>VLOOKUP(B144,Unemployment!$A$2:$F$193,6,0)</f>
        <v>-0.59999999999999964</v>
      </c>
      <c r="BI144" s="29">
        <f>VLOOKUP(B144,Zillow!$C$11:$R$193,16,0)</f>
        <v>-4.7793185850320439E-3</v>
      </c>
      <c r="BJ144" s="5"/>
      <c r="BK144" s="6">
        <v>10</v>
      </c>
      <c r="BL144" s="6">
        <v>40</v>
      </c>
      <c r="BM144" s="6">
        <v>30</v>
      </c>
      <c r="BN144" s="6">
        <v>10</v>
      </c>
      <c r="BO144" s="6">
        <v>10</v>
      </c>
      <c r="BP144" s="5"/>
      <c r="BQ144" s="43">
        <v>0.2</v>
      </c>
      <c r="BR144" s="43">
        <v>0.02</v>
      </c>
      <c r="BS144" s="43">
        <v>2.2000000000000002</v>
      </c>
      <c r="BT144" s="44">
        <v>0.02</v>
      </c>
      <c r="BU144" s="43">
        <v>-7.0000000000000007E-2</v>
      </c>
      <c r="BV144" s="5"/>
      <c r="BW144" s="43">
        <v>0.05</v>
      </c>
      <c r="BX144" s="43">
        <v>0.32</v>
      </c>
      <c r="BY144" s="43">
        <v>0.4</v>
      </c>
      <c r="BZ144" s="44">
        <v>0</v>
      </c>
      <c r="CA144" s="43">
        <v>0.03</v>
      </c>
      <c r="CB144" s="5"/>
      <c r="CC144" s="45">
        <f t="shared" si="143"/>
        <v>-1.5000000000000003E-2</v>
      </c>
      <c r="CD144" s="45">
        <f t="shared" si="144"/>
        <v>7.4999999999999997E-3</v>
      </c>
      <c r="CE144" s="45">
        <f t="shared" si="145"/>
        <v>-6.0000000000000012E-2</v>
      </c>
      <c r="CF144" s="46">
        <f t="shared" si="146"/>
        <v>-2E-3</v>
      </c>
      <c r="CG144" s="45">
        <f t="shared" si="147"/>
        <v>0.01</v>
      </c>
      <c r="CH144" s="5"/>
      <c r="CI144" s="44">
        <f t="shared" si="148"/>
        <v>10</v>
      </c>
      <c r="CJ144" s="44">
        <f t="shared" si="149"/>
        <v>2.4404060766491873</v>
      </c>
      <c r="CK144" s="44">
        <f t="shared" si="150"/>
        <v>7.4721616142552412</v>
      </c>
      <c r="CL144" s="44">
        <f t="shared" si="151"/>
        <v>10</v>
      </c>
      <c r="CM144" s="44">
        <f t="shared" si="152"/>
        <v>6.5220681414967965</v>
      </c>
      <c r="CN144" s="47">
        <f t="shared" si="153"/>
        <v>0</v>
      </c>
      <c r="CO144" s="5"/>
      <c r="CP144" s="47">
        <f t="shared" si="154"/>
        <v>2.8906753288008166E-2</v>
      </c>
      <c r="CQ144" s="47">
        <f t="shared" si="155"/>
        <v>5.7696954425131085E-2</v>
      </c>
      <c r="CR144" s="47">
        <f t="shared" si="156"/>
        <v>2.4716703031446858</v>
      </c>
      <c r="CS144" s="47">
        <f t="shared" si="157"/>
        <v>0.59999999999999964</v>
      </c>
      <c r="CT144" s="47">
        <f t="shared" si="158"/>
        <v>7.779318585032044E-3</v>
      </c>
      <c r="CU144" s="47">
        <f t="shared" si="159"/>
        <v>3.1660533294428568</v>
      </c>
    </row>
    <row r="145" spans="1:99" ht="15" customHeight="1">
      <c r="A145" s="5"/>
      <c r="B145" s="37" t="s">
        <v>137</v>
      </c>
      <c r="C145" s="37" t="s">
        <v>252</v>
      </c>
      <c r="D145" s="37" t="s">
        <v>255</v>
      </c>
      <c r="E145" s="26">
        <v>42551</v>
      </c>
      <c r="F145" s="38">
        <f t="shared" si="135"/>
        <v>80.233467633846317</v>
      </c>
      <c r="G145" s="4">
        <f>150435292-61377852-65086016</f>
        <v>23971424</v>
      </c>
      <c r="H145" s="4">
        <f>3190056+1380275</f>
        <v>4570331</v>
      </c>
      <c r="I145" s="4">
        <v>150435292</v>
      </c>
      <c r="J145" s="4">
        <v>120859058</v>
      </c>
      <c r="K145" s="4">
        <v>9279108</v>
      </c>
      <c r="L145" s="4">
        <v>44978926</v>
      </c>
      <c r="M145" s="4">
        <v>1539397</v>
      </c>
      <c r="N145" s="4">
        <v>5020708</v>
      </c>
      <c r="O145" s="4">
        <v>15367803</v>
      </c>
      <c r="P145" s="4">
        <f>SUM(L145:O145)</f>
        <v>66906834</v>
      </c>
      <c r="Q145" s="4">
        <v>64371502</v>
      </c>
      <c r="R145" s="4">
        <f>P145-Q145</f>
        <v>2535332</v>
      </c>
      <c r="S145" s="27">
        <v>58377893</v>
      </c>
      <c r="T145" s="27">
        <v>54884056</v>
      </c>
      <c r="U145" s="27">
        <v>64695955</v>
      </c>
      <c r="V145" s="27">
        <v>69990762</v>
      </c>
      <c r="W145" s="27">
        <v>-551459</v>
      </c>
      <c r="X145" s="27">
        <f>2401282+50573</f>
        <v>2451855</v>
      </c>
      <c r="Y145" s="27">
        <v>10142246</v>
      </c>
      <c r="Z145" s="27">
        <v>2082970</v>
      </c>
      <c r="AA145" s="27">
        <f>28049494+103351-Z145-Y145-X145</f>
        <v>13475774</v>
      </c>
      <c r="AB145" s="27">
        <f>X145+Y145+Z145+AA145</f>
        <v>28152845</v>
      </c>
      <c r="AC145" s="27">
        <v>2082970</v>
      </c>
      <c r="AD145" s="27">
        <v>0</v>
      </c>
      <c r="AE145" s="27">
        <f t="shared" si="163"/>
        <v>2082970</v>
      </c>
      <c r="AF145" s="27">
        <v>0</v>
      </c>
      <c r="AG145" s="27">
        <v>1797680</v>
      </c>
      <c r="AH145" s="27">
        <v>1789440</v>
      </c>
      <c r="AI145" s="27">
        <v>1909705</v>
      </c>
      <c r="AJ145" s="26">
        <v>41821</v>
      </c>
      <c r="AK145" s="39">
        <v>7011268</v>
      </c>
      <c r="AL145" s="39">
        <v>19616888</v>
      </c>
      <c r="AM145" s="39">
        <f t="shared" si="164"/>
        <v>12605620</v>
      </c>
      <c r="AN145" s="40">
        <v>0.36</v>
      </c>
      <c r="AO145" s="40">
        <v>7.4999999999999997E-2</v>
      </c>
      <c r="AP145" s="40">
        <v>0</v>
      </c>
      <c r="AQ145" s="27">
        <v>1333075</v>
      </c>
      <c r="AR145" s="27">
        <v>1333075</v>
      </c>
      <c r="AS145" s="27">
        <v>0</v>
      </c>
      <c r="AT145" s="27">
        <v>0</v>
      </c>
      <c r="AU145" s="27">
        <v>350000</v>
      </c>
      <c r="AV145" s="27">
        <v>648557</v>
      </c>
      <c r="AW145" s="27">
        <v>9313022</v>
      </c>
      <c r="AX145" s="27">
        <f t="shared" si="165"/>
        <v>10311579</v>
      </c>
      <c r="AY145" s="27">
        <v>502040</v>
      </c>
      <c r="AZ145" s="27">
        <v>473167</v>
      </c>
      <c r="BA145" s="27">
        <v>9889133</v>
      </c>
      <c r="BB145" s="27">
        <v>1328220</v>
      </c>
      <c r="BC145" s="27">
        <v>3285853</v>
      </c>
      <c r="BD145" s="27">
        <f t="shared" si="166"/>
        <v>15478413</v>
      </c>
      <c r="BE145" s="29">
        <f t="shared" si="140"/>
        <v>1.99243473394661E-2</v>
      </c>
      <c r="BF145" s="29">
        <f t="shared" si="141"/>
        <v>0.18787931781135125</v>
      </c>
      <c r="BG145" s="29">
        <f t="shared" si="142"/>
        <v>0.26918922811382767</v>
      </c>
      <c r="BH145" s="42">
        <f>VLOOKUP(B145,Unemployment!$A$2:$F$193,6,0)</f>
        <v>-0.40000000000000036</v>
      </c>
      <c r="BI145" s="29">
        <f>VLOOKUP(B145,Zillow!$C$11:$R$193,16,0)</f>
        <v>8.4955859233281639E-3</v>
      </c>
      <c r="BJ145" s="5"/>
      <c r="BK145" s="6">
        <v>10</v>
      </c>
      <c r="BL145" s="6">
        <v>40</v>
      </c>
      <c r="BM145" s="6">
        <v>30</v>
      </c>
      <c r="BN145" s="6">
        <v>10</v>
      </c>
      <c r="BO145" s="6">
        <v>10</v>
      </c>
      <c r="BP145" s="5"/>
      <c r="BQ145" s="43">
        <v>0.2</v>
      </c>
      <c r="BR145" s="43">
        <v>0.02</v>
      </c>
      <c r="BS145" s="43">
        <v>2.2000000000000002</v>
      </c>
      <c r="BT145" s="44">
        <v>0.02</v>
      </c>
      <c r="BU145" s="43">
        <v>-7.0000000000000007E-2</v>
      </c>
      <c r="BV145" s="5"/>
      <c r="BW145" s="43">
        <v>0.05</v>
      </c>
      <c r="BX145" s="43">
        <v>0.32</v>
      </c>
      <c r="BY145" s="43">
        <v>0.4</v>
      </c>
      <c r="BZ145" s="44">
        <v>0</v>
      </c>
      <c r="CA145" s="43">
        <v>0.03</v>
      </c>
      <c r="CB145" s="5"/>
      <c r="CC145" s="45">
        <f t="shared" si="143"/>
        <v>-1.5000000000000003E-2</v>
      </c>
      <c r="CD145" s="45">
        <f t="shared" si="144"/>
        <v>7.4999999999999997E-3</v>
      </c>
      <c r="CE145" s="45">
        <f t="shared" si="145"/>
        <v>-6.0000000000000012E-2</v>
      </c>
      <c r="CF145" s="46">
        <f t="shared" si="146"/>
        <v>-2E-3</v>
      </c>
      <c r="CG145" s="45">
        <f t="shared" si="147"/>
        <v>0.01</v>
      </c>
      <c r="CH145" s="5"/>
      <c r="CI145" s="44">
        <f t="shared" si="148"/>
        <v>10</v>
      </c>
      <c r="CJ145" s="44">
        <f t="shared" si="149"/>
        <v>22.383909041513501</v>
      </c>
      <c r="CK145" s="44">
        <f t="shared" si="150"/>
        <v>30</v>
      </c>
      <c r="CL145" s="44">
        <f t="shared" si="151"/>
        <v>10</v>
      </c>
      <c r="CM145" s="44">
        <f t="shared" si="152"/>
        <v>7.8495585923328166</v>
      </c>
      <c r="CN145" s="47">
        <f t="shared" si="153"/>
        <v>0</v>
      </c>
      <c r="CO145" s="5"/>
      <c r="CP145" s="47">
        <f t="shared" si="154"/>
        <v>2.7424347339466103E-2</v>
      </c>
      <c r="CQ145" s="47">
        <f t="shared" si="155"/>
        <v>9.1879317811351266E-2</v>
      </c>
      <c r="CR145" s="47">
        <f t="shared" si="156"/>
        <v>0.98918922811382792</v>
      </c>
      <c r="CS145" s="47">
        <f t="shared" si="157"/>
        <v>0.40000000000000036</v>
      </c>
      <c r="CT145" s="47">
        <f t="shared" si="158"/>
        <v>5.4955859233281647E-3</v>
      </c>
      <c r="CU145" s="47">
        <f t="shared" si="159"/>
        <v>1.5139884791879739</v>
      </c>
    </row>
    <row r="146" spans="1:99" ht="15" customHeight="1">
      <c r="A146" s="5"/>
      <c r="B146" s="37" t="s">
        <v>39</v>
      </c>
      <c r="C146" s="37" t="s">
        <v>252</v>
      </c>
      <c r="D146" s="37" t="s">
        <v>255</v>
      </c>
      <c r="E146" s="26">
        <v>42551</v>
      </c>
      <c r="F146" s="38">
        <f t="shared" si="135"/>
        <v>65.198782702351991</v>
      </c>
      <c r="G146" s="4">
        <v>10711072</v>
      </c>
      <c r="H146" s="4">
        <v>7485096</v>
      </c>
      <c r="I146" s="4">
        <v>75259426</v>
      </c>
      <c r="J146" s="4">
        <v>32560235</v>
      </c>
      <c r="K146" s="4">
        <v>-6562121</v>
      </c>
      <c r="L146" s="4">
        <v>18992224</v>
      </c>
      <c r="M146" s="4">
        <v>605945</v>
      </c>
      <c r="N146" s="4">
        <v>2074260</v>
      </c>
      <c r="O146" s="4">
        <v>8923066</v>
      </c>
      <c r="P146" s="4">
        <f t="shared" ref="P146:P156" si="167">L146+M146+N146+O146</f>
        <v>30595495</v>
      </c>
      <c r="Q146" s="4">
        <v>30839076</v>
      </c>
      <c r="R146" s="4">
        <v>-243581</v>
      </c>
      <c r="S146" s="27">
        <v>27078296</v>
      </c>
      <c r="T146" s="27">
        <v>23301522</v>
      </c>
      <c r="U146" s="27">
        <v>30939258</v>
      </c>
      <c r="V146" s="27">
        <v>31450995</v>
      </c>
      <c r="W146" s="27">
        <v>275406</v>
      </c>
      <c r="X146" s="27">
        <v>2807001</v>
      </c>
      <c r="Y146" s="27">
        <v>5610985</v>
      </c>
      <c r="Z146" s="27">
        <v>7602473</v>
      </c>
      <c r="AA146" s="27">
        <f>39572004-X146-Y146-Z146</f>
        <v>23551545</v>
      </c>
      <c r="AB146" s="27">
        <f>SUM(X146:AA146)</f>
        <v>39572004</v>
      </c>
      <c r="AC146" s="27">
        <f>5155393+2447080</f>
        <v>7602473</v>
      </c>
      <c r="AD146" s="27">
        <v>0</v>
      </c>
      <c r="AE146" s="27">
        <f t="shared" si="163"/>
        <v>7602473</v>
      </c>
      <c r="AF146" s="27">
        <v>0</v>
      </c>
      <c r="AG146" s="27">
        <f>1558534+444515</f>
        <v>2003049</v>
      </c>
      <c r="AH146" s="27">
        <f>1582537+449666</f>
        <v>2032203</v>
      </c>
      <c r="AI146" s="27">
        <f>685657+170062</f>
        <v>855719</v>
      </c>
      <c r="AJ146" s="26">
        <v>42186</v>
      </c>
      <c r="AK146" s="39">
        <v>150661</v>
      </c>
      <c r="AL146" s="39">
        <f>20242358+5298411</f>
        <v>25540769</v>
      </c>
      <c r="AM146" s="39">
        <f t="shared" si="164"/>
        <v>25390108</v>
      </c>
      <c r="AN146" s="40">
        <f t="shared" ref="AN146:AN152" si="168">AK146/AL146</f>
        <v>5.898843531296963E-3</v>
      </c>
      <c r="AO146" s="50" t="s">
        <v>311</v>
      </c>
      <c r="AP146" s="40">
        <v>0.03</v>
      </c>
      <c r="AQ146" s="27">
        <v>741209</v>
      </c>
      <c r="AR146" s="27">
        <v>800000</v>
      </c>
      <c r="AS146" s="27">
        <v>0</v>
      </c>
      <c r="AT146" s="27">
        <v>0</v>
      </c>
      <c r="AU146" s="27">
        <v>0</v>
      </c>
      <c r="AV146" s="27">
        <v>102266</v>
      </c>
      <c r="AW146" s="27">
        <v>3340323</v>
      </c>
      <c r="AX146" s="27">
        <f t="shared" si="165"/>
        <v>3442589</v>
      </c>
      <c r="AY146" s="27">
        <v>170200</v>
      </c>
      <c r="AZ146" s="27">
        <v>1361668</v>
      </c>
      <c r="BA146" s="27">
        <v>1016604</v>
      </c>
      <c r="BB146" s="27">
        <v>1362140</v>
      </c>
      <c r="BC146" s="27">
        <v>2845994</v>
      </c>
      <c r="BD146" s="27">
        <f t="shared" si="166"/>
        <v>6756606</v>
      </c>
      <c r="BE146" s="29">
        <f t="shared" si="140"/>
        <v>2.4226082957638045E-2</v>
      </c>
      <c r="BF146" s="29">
        <f t="shared" si="141"/>
        <v>0.14774095014051014</v>
      </c>
      <c r="BG146" s="29">
        <f t="shared" si="142"/>
        <v>1.1100006389829613</v>
      </c>
      <c r="BH146" s="42">
        <f>VLOOKUP(B146,Unemployment!$A$2:$F$193,6,0)</f>
        <v>-0.70000000000000018</v>
      </c>
      <c r="BI146" s="29">
        <f>VLOOKUP(B146,Zillow!$C$11:$R$193,16,0)</f>
        <v>3.3248937084985428E-2</v>
      </c>
      <c r="BJ146" s="5"/>
      <c r="BK146" s="6">
        <v>10</v>
      </c>
      <c r="BL146" s="6">
        <v>40</v>
      </c>
      <c r="BM146" s="6">
        <v>30</v>
      </c>
      <c r="BN146" s="6">
        <v>10</v>
      </c>
      <c r="BO146" s="6">
        <v>10</v>
      </c>
      <c r="BP146" s="5"/>
      <c r="BQ146" s="43">
        <v>0.2</v>
      </c>
      <c r="BR146" s="43">
        <v>0.02</v>
      </c>
      <c r="BS146" s="43">
        <v>2.2000000000000002</v>
      </c>
      <c r="BT146" s="44">
        <v>0.02</v>
      </c>
      <c r="BU146" s="43">
        <v>-7.0000000000000007E-2</v>
      </c>
      <c r="BV146" s="5"/>
      <c r="BW146" s="43">
        <v>0.05</v>
      </c>
      <c r="BX146" s="43">
        <v>0.32</v>
      </c>
      <c r="BY146" s="43">
        <v>0.4</v>
      </c>
      <c r="BZ146" s="44">
        <v>0</v>
      </c>
      <c r="CA146" s="43">
        <v>0.03</v>
      </c>
      <c r="CB146" s="5"/>
      <c r="CC146" s="45">
        <f t="shared" si="143"/>
        <v>-1.5000000000000003E-2</v>
      </c>
      <c r="CD146" s="45">
        <f t="shared" si="144"/>
        <v>7.4999999999999997E-3</v>
      </c>
      <c r="CE146" s="45">
        <f t="shared" si="145"/>
        <v>-6.0000000000000012E-2</v>
      </c>
      <c r="CF146" s="46">
        <f t="shared" si="146"/>
        <v>-2E-3</v>
      </c>
      <c r="CG146" s="45">
        <f t="shared" si="147"/>
        <v>0.01</v>
      </c>
      <c r="CH146" s="5"/>
      <c r="CI146" s="44">
        <f t="shared" si="148"/>
        <v>10</v>
      </c>
      <c r="CJ146" s="44">
        <f t="shared" si="149"/>
        <v>17.032126685401355</v>
      </c>
      <c r="CK146" s="44">
        <f t="shared" si="150"/>
        <v>18.166656016950643</v>
      </c>
      <c r="CL146" s="44">
        <f t="shared" si="151"/>
        <v>10</v>
      </c>
      <c r="CM146" s="44">
        <f t="shared" si="152"/>
        <v>10</v>
      </c>
      <c r="CN146" s="47">
        <f t="shared" si="153"/>
        <v>0</v>
      </c>
      <c r="CO146" s="5"/>
      <c r="CP146" s="47">
        <f t="shared" si="154"/>
        <v>3.1726082957638048E-2</v>
      </c>
      <c r="CQ146" s="47">
        <f t="shared" si="155"/>
        <v>5.1740950140510153E-2</v>
      </c>
      <c r="CR146" s="47">
        <f t="shared" si="156"/>
        <v>1.8300006389829615</v>
      </c>
      <c r="CS146" s="47">
        <f t="shared" si="157"/>
        <v>0.70000000000000018</v>
      </c>
      <c r="CT146" s="47">
        <f t="shared" si="158"/>
        <v>3.0248937084985428E-2</v>
      </c>
      <c r="CU146" s="47">
        <f t="shared" si="159"/>
        <v>2.6437166091660953</v>
      </c>
    </row>
    <row r="147" spans="1:99" ht="15" customHeight="1">
      <c r="A147" s="5"/>
      <c r="B147" s="37" t="s">
        <v>62</v>
      </c>
      <c r="C147" s="37" t="s">
        <v>252</v>
      </c>
      <c r="D147" s="37" t="s">
        <v>255</v>
      </c>
      <c r="E147" s="26">
        <v>42551</v>
      </c>
      <c r="F147" s="38">
        <f t="shared" si="135"/>
        <v>69.725134985267175</v>
      </c>
      <c r="G147" s="4">
        <f>49619170-36347988-3893078</f>
        <v>9378104</v>
      </c>
      <c r="H147" s="4">
        <f>16617733-12505015-910897</f>
        <v>3201821</v>
      </c>
      <c r="I147" s="4">
        <v>49619170</v>
      </c>
      <c r="J147" s="4">
        <v>34366963</v>
      </c>
      <c r="K147" s="4">
        <v>2045204</v>
      </c>
      <c r="L147" s="4">
        <v>15237853</v>
      </c>
      <c r="M147" s="4">
        <v>724952</v>
      </c>
      <c r="N147" s="4">
        <v>1515449</v>
      </c>
      <c r="O147" s="4">
        <v>11313938</v>
      </c>
      <c r="P147" s="4">
        <f t="shared" si="167"/>
        <v>28792192</v>
      </c>
      <c r="Q147" s="4">
        <v>29438737</v>
      </c>
      <c r="R147" s="4">
        <v>-646545</v>
      </c>
      <c r="S147" s="27">
        <v>25382886</v>
      </c>
      <c r="T147" s="27">
        <v>24963696</v>
      </c>
      <c r="U147" s="27">
        <v>28746225</v>
      </c>
      <c r="V147" s="27">
        <v>30017799</v>
      </c>
      <c r="W147" s="27">
        <v>68251</v>
      </c>
      <c r="X147" s="27">
        <v>910897</v>
      </c>
      <c r="Y147" s="27">
        <v>1300604</v>
      </c>
      <c r="Z147" s="27">
        <v>1723289</v>
      </c>
      <c r="AA147" s="27">
        <f>13415912-SUM(X147:Z147)</f>
        <v>9481122</v>
      </c>
      <c r="AB147" s="27">
        <f>SUM(X147:AA147)</f>
        <v>13415912</v>
      </c>
      <c r="AC147" s="27">
        <v>1723289</v>
      </c>
      <c r="AD147" s="27">
        <v>0</v>
      </c>
      <c r="AE147" s="27">
        <f t="shared" si="163"/>
        <v>1723289</v>
      </c>
      <c r="AF147" s="27">
        <v>0</v>
      </c>
      <c r="AG147" s="27">
        <v>274300</v>
      </c>
      <c r="AH147" s="27">
        <v>249535</v>
      </c>
      <c r="AI147" s="27">
        <v>112011</v>
      </c>
      <c r="AJ147" s="26">
        <v>42370</v>
      </c>
      <c r="AK147" s="39">
        <v>0</v>
      </c>
      <c r="AL147" s="39">
        <v>4165000</v>
      </c>
      <c r="AM147" s="39">
        <f t="shared" si="164"/>
        <v>4165000</v>
      </c>
      <c r="AN147" s="40">
        <f t="shared" si="168"/>
        <v>0</v>
      </c>
      <c r="AO147" s="40">
        <v>3.7499999999999999E-2</v>
      </c>
      <c r="AP147" s="40"/>
      <c r="AQ147" s="27">
        <f t="shared" ref="AQ147:AR147" si="169">138070+122031</f>
        <v>260101</v>
      </c>
      <c r="AR147" s="27">
        <f t="shared" si="169"/>
        <v>260101</v>
      </c>
      <c r="AS147" s="27">
        <v>0</v>
      </c>
      <c r="AT147" s="27">
        <v>66490</v>
      </c>
      <c r="AU147" s="27">
        <v>0</v>
      </c>
      <c r="AV147" s="27">
        <v>165826</v>
      </c>
      <c r="AW147" s="27">
        <v>2152630</v>
      </c>
      <c r="AX147" s="27">
        <f t="shared" si="165"/>
        <v>2384946</v>
      </c>
      <c r="AY147" s="27">
        <v>266231</v>
      </c>
      <c r="AZ147" s="27">
        <v>2997501</v>
      </c>
      <c r="BA147" s="27">
        <v>320294</v>
      </c>
      <c r="BB147" s="27">
        <v>165826</v>
      </c>
      <c r="BC147" s="27">
        <v>840122</v>
      </c>
      <c r="BD147" s="27">
        <f t="shared" si="166"/>
        <v>4589974</v>
      </c>
      <c r="BE147" s="29">
        <f t="shared" si="140"/>
        <v>9.0337338678486163E-3</v>
      </c>
      <c r="BF147" s="29">
        <f t="shared" si="141"/>
        <v>9.5536574391868898E-2</v>
      </c>
      <c r="BG147" s="29">
        <f t="shared" si="142"/>
        <v>0.42078449601892071</v>
      </c>
      <c r="BH147" s="42">
        <f>VLOOKUP(B147,Unemployment!$A$2:$F$193,6,0)</f>
        <v>-0.20000000000000018</v>
      </c>
      <c r="BI147" s="29">
        <f>VLOOKUP(B147,Zillow!$C$11:$R$193,16,0)</f>
        <v>7.186274087166454E-2</v>
      </c>
      <c r="BJ147" s="5"/>
      <c r="BK147" s="6">
        <v>10</v>
      </c>
      <c r="BL147" s="6">
        <v>40</v>
      </c>
      <c r="BM147" s="6">
        <v>30</v>
      </c>
      <c r="BN147" s="6">
        <v>10</v>
      </c>
      <c r="BO147" s="6">
        <v>10</v>
      </c>
      <c r="BP147" s="5"/>
      <c r="BQ147" s="43">
        <v>0.2</v>
      </c>
      <c r="BR147" s="43">
        <v>0.02</v>
      </c>
      <c r="BS147" s="43">
        <v>2.2000000000000002</v>
      </c>
      <c r="BT147" s="44">
        <v>0.02</v>
      </c>
      <c r="BU147" s="43">
        <v>-7.0000000000000007E-2</v>
      </c>
      <c r="BV147" s="5"/>
      <c r="BW147" s="43">
        <v>0.05</v>
      </c>
      <c r="BX147" s="43">
        <v>0.32</v>
      </c>
      <c r="BY147" s="43">
        <v>0.4</v>
      </c>
      <c r="BZ147" s="44">
        <v>0</v>
      </c>
      <c r="CA147" s="43">
        <v>0.03</v>
      </c>
      <c r="CB147" s="5"/>
      <c r="CC147" s="45">
        <f t="shared" si="143"/>
        <v>-1.5000000000000003E-2</v>
      </c>
      <c r="CD147" s="45">
        <f t="shared" si="144"/>
        <v>7.4999999999999997E-3</v>
      </c>
      <c r="CE147" s="45">
        <f t="shared" si="145"/>
        <v>-6.0000000000000012E-2</v>
      </c>
      <c r="CF147" s="46">
        <f t="shared" si="146"/>
        <v>-2E-3</v>
      </c>
      <c r="CG147" s="45">
        <f t="shared" si="147"/>
        <v>0.01</v>
      </c>
      <c r="CH147" s="5"/>
      <c r="CI147" s="44">
        <f t="shared" si="148"/>
        <v>10</v>
      </c>
      <c r="CJ147" s="44">
        <f t="shared" si="149"/>
        <v>10.071543252249187</v>
      </c>
      <c r="CK147" s="44">
        <f t="shared" si="150"/>
        <v>29.653591733017986</v>
      </c>
      <c r="CL147" s="44">
        <f t="shared" si="151"/>
        <v>10</v>
      </c>
      <c r="CM147" s="44">
        <f t="shared" si="152"/>
        <v>10</v>
      </c>
      <c r="CN147" s="47">
        <f t="shared" si="153"/>
        <v>0</v>
      </c>
      <c r="CO147" s="5"/>
      <c r="CP147" s="47">
        <f t="shared" si="154"/>
        <v>1.6533733867848618E-2</v>
      </c>
      <c r="CQ147" s="47">
        <f t="shared" si="155"/>
        <v>4.6342560813109057E-4</v>
      </c>
      <c r="CR147" s="47">
        <f t="shared" si="156"/>
        <v>1.1407844960189208</v>
      </c>
      <c r="CS147" s="47">
        <f t="shared" si="157"/>
        <v>0.20000000000000018</v>
      </c>
      <c r="CT147" s="47">
        <f t="shared" si="158"/>
        <v>6.8862740871664538E-2</v>
      </c>
      <c r="CU147" s="47">
        <f t="shared" si="159"/>
        <v>1.4266443963665651</v>
      </c>
    </row>
    <row r="148" spans="1:99" ht="15" customHeight="1">
      <c r="A148" s="5"/>
      <c r="B148" s="37" t="s">
        <v>59</v>
      </c>
      <c r="C148" s="37" t="s">
        <v>252</v>
      </c>
      <c r="D148" s="37" t="s">
        <v>255</v>
      </c>
      <c r="E148" s="26">
        <v>42551</v>
      </c>
      <c r="F148" s="38">
        <f t="shared" si="135"/>
        <v>68.804660422766688</v>
      </c>
      <c r="G148" s="4">
        <f>157195460-114885767-17375379</f>
        <v>24934314</v>
      </c>
      <c r="H148" s="4">
        <f>52647830-45999608-4078494</f>
        <v>2569728</v>
      </c>
      <c r="I148" s="4">
        <v>157195460</v>
      </c>
      <c r="J148" s="4">
        <v>104118492</v>
      </c>
      <c r="K148" s="4">
        <v>18668023</v>
      </c>
      <c r="L148" s="4">
        <v>42711201</v>
      </c>
      <c r="M148" s="4">
        <v>1294653</v>
      </c>
      <c r="N148" s="4">
        <v>3039956</v>
      </c>
      <c r="O148" s="4">
        <v>17379237</v>
      </c>
      <c r="P148" s="4">
        <f t="shared" si="167"/>
        <v>64425047</v>
      </c>
      <c r="Q148" s="4">
        <v>66066883</v>
      </c>
      <c r="R148" s="4">
        <v>-1641836</v>
      </c>
      <c r="S148" s="27">
        <v>59775912</v>
      </c>
      <c r="T148" s="27">
        <v>58735407</v>
      </c>
      <c r="U148" s="27">
        <v>63853031</v>
      </c>
      <c r="V148" s="27">
        <v>67067464</v>
      </c>
      <c r="W148" s="27">
        <v>476219</v>
      </c>
      <c r="X148" s="27">
        <v>4078494</v>
      </c>
      <c r="Y148" s="27">
        <v>0</v>
      </c>
      <c r="Z148" s="27">
        <v>0</v>
      </c>
      <c r="AA148" s="27">
        <f>50078102-X148</f>
        <v>45999608</v>
      </c>
      <c r="AB148" s="27">
        <f>SUM(X148:AA148)</f>
        <v>50078102</v>
      </c>
      <c r="AC148" s="27">
        <v>-176313</v>
      </c>
      <c r="AD148" s="27">
        <v>0</v>
      </c>
      <c r="AE148" s="27">
        <f t="shared" si="163"/>
        <v>-176313</v>
      </c>
      <c r="AF148" s="27">
        <v>0</v>
      </c>
      <c r="AG148" s="27">
        <v>447781</v>
      </c>
      <c r="AH148" s="27">
        <v>449732</v>
      </c>
      <c r="AI148" s="27">
        <v>457613</v>
      </c>
      <c r="AJ148" s="26">
        <v>41821</v>
      </c>
      <c r="AK148" s="39">
        <v>626658</v>
      </c>
      <c r="AL148" s="39">
        <v>4623714</v>
      </c>
      <c r="AM148" s="39">
        <f t="shared" si="164"/>
        <v>3997056</v>
      </c>
      <c r="AN148" s="40">
        <f t="shared" si="168"/>
        <v>0.13553130665088714</v>
      </c>
      <c r="AO148" s="40">
        <v>7.4999999999999997E-2</v>
      </c>
      <c r="AP148" s="40">
        <v>2.75E-2</v>
      </c>
      <c r="AQ148" s="27"/>
      <c r="AR148" s="27"/>
      <c r="AS148" s="27">
        <v>0</v>
      </c>
      <c r="AT148" s="27">
        <v>0</v>
      </c>
      <c r="AU148" s="27">
        <v>63813</v>
      </c>
      <c r="AV148" s="27">
        <v>1764973</v>
      </c>
      <c r="AW148" s="27">
        <v>7113653</v>
      </c>
      <c r="AX148" s="27">
        <f t="shared" si="165"/>
        <v>8942439</v>
      </c>
      <c r="AY148" s="27">
        <v>342832</v>
      </c>
      <c r="AZ148" s="27">
        <v>264540</v>
      </c>
      <c r="BA148" s="27">
        <v>5757237</v>
      </c>
      <c r="BB148" s="27">
        <v>1764973</v>
      </c>
      <c r="BC148" s="27">
        <v>7113653</v>
      </c>
      <c r="BD148" s="27">
        <f t="shared" si="166"/>
        <v>15243235</v>
      </c>
      <c r="BE148" s="29">
        <f t="shared" si="140"/>
        <v>0</v>
      </c>
      <c r="BF148" s="29">
        <f t="shared" si="141"/>
        <v>0.15224954515084912</v>
      </c>
      <c r="BG148" s="29">
        <f t="shared" si="142"/>
        <v>0.7773079622277963</v>
      </c>
      <c r="BH148" s="42">
        <f>VLOOKUP(B148,Unemployment!$A$2:$F$193,6,0)</f>
        <v>-0.29999999999999982</v>
      </c>
      <c r="BI148" s="29">
        <f>VLOOKUP(B148,Zillow!$C$11:$R$193,16,0)</f>
        <v>4.5985377311674215E-3</v>
      </c>
      <c r="BJ148" s="5"/>
      <c r="BK148" s="6">
        <v>10</v>
      </c>
      <c r="BL148" s="6">
        <v>40</v>
      </c>
      <c r="BM148" s="6">
        <v>30</v>
      </c>
      <c r="BN148" s="6">
        <v>10</v>
      </c>
      <c r="BO148" s="6">
        <v>10</v>
      </c>
      <c r="BP148" s="5"/>
      <c r="BQ148" s="43">
        <v>0.2</v>
      </c>
      <c r="BR148" s="43">
        <v>0.02</v>
      </c>
      <c r="BS148" s="43">
        <v>2.2000000000000002</v>
      </c>
      <c r="BT148" s="44">
        <v>0.02</v>
      </c>
      <c r="BU148" s="43">
        <v>-7.0000000000000007E-2</v>
      </c>
      <c r="BV148" s="5"/>
      <c r="BW148" s="43">
        <v>0.05</v>
      </c>
      <c r="BX148" s="43">
        <v>0.32</v>
      </c>
      <c r="BY148" s="43">
        <v>0.4</v>
      </c>
      <c r="BZ148" s="44">
        <v>0</v>
      </c>
      <c r="CA148" s="43">
        <v>0.03</v>
      </c>
      <c r="CB148" s="5"/>
      <c r="CC148" s="45">
        <f t="shared" si="143"/>
        <v>-1.5000000000000003E-2</v>
      </c>
      <c r="CD148" s="45">
        <f t="shared" si="144"/>
        <v>7.4999999999999997E-3</v>
      </c>
      <c r="CE148" s="45">
        <f t="shared" si="145"/>
        <v>-6.0000000000000012E-2</v>
      </c>
      <c r="CF148" s="46">
        <f t="shared" si="146"/>
        <v>-2E-3</v>
      </c>
      <c r="CG148" s="45">
        <f t="shared" si="147"/>
        <v>0.01</v>
      </c>
      <c r="CH148" s="5"/>
      <c r="CI148" s="44">
        <f t="shared" si="148"/>
        <v>10</v>
      </c>
      <c r="CJ148" s="44">
        <f t="shared" si="149"/>
        <v>17.633272686779886</v>
      </c>
      <c r="CK148" s="44">
        <f t="shared" si="150"/>
        <v>23.71153396287006</v>
      </c>
      <c r="CL148" s="44">
        <f t="shared" si="151"/>
        <v>10</v>
      </c>
      <c r="CM148" s="44">
        <f t="shared" si="152"/>
        <v>7.459853773116742</v>
      </c>
      <c r="CN148" s="47">
        <f t="shared" si="153"/>
        <v>0</v>
      </c>
      <c r="CO148" s="5"/>
      <c r="CP148" s="47">
        <f t="shared" si="154"/>
        <v>7.5000000000000023E-3</v>
      </c>
      <c r="CQ148" s="47">
        <f t="shared" si="155"/>
        <v>5.6249545150849137E-2</v>
      </c>
      <c r="CR148" s="47">
        <f t="shared" si="156"/>
        <v>1.4973079622277965</v>
      </c>
      <c r="CS148" s="47">
        <f t="shared" si="157"/>
        <v>0.29999999999999982</v>
      </c>
      <c r="CT148" s="47">
        <f t="shared" si="158"/>
        <v>1.5985377311674219E-3</v>
      </c>
      <c r="CU148" s="47">
        <f t="shared" si="159"/>
        <v>1.8626560451098129</v>
      </c>
    </row>
    <row r="149" spans="1:99" ht="15" customHeight="1">
      <c r="A149" s="5"/>
      <c r="B149" s="37" t="s">
        <v>32</v>
      </c>
      <c r="C149" s="37" t="s">
        <v>252</v>
      </c>
      <c r="D149" s="37" t="s">
        <v>258</v>
      </c>
      <c r="E149" s="26">
        <v>42551</v>
      </c>
      <c r="F149" s="38">
        <f t="shared" si="135"/>
        <v>63.329761574930437</v>
      </c>
      <c r="G149" s="4">
        <f>160621503-87900159-25002830</f>
        <v>47718514</v>
      </c>
      <c r="H149" s="4">
        <f>129093482-113728755-4233027</f>
        <v>11131700</v>
      </c>
      <c r="I149" s="4">
        <v>160621503</v>
      </c>
      <c r="J149" s="4">
        <v>37761002</v>
      </c>
      <c r="K149" s="4">
        <v>-59071861</v>
      </c>
      <c r="L149" s="4">
        <v>91368786</v>
      </c>
      <c r="M149" s="4">
        <v>182648</v>
      </c>
      <c r="N149" s="4">
        <v>8281550</v>
      </c>
      <c r="O149" s="4">
        <v>46683995</v>
      </c>
      <c r="P149" s="4">
        <f t="shared" si="167"/>
        <v>146516979</v>
      </c>
      <c r="Q149" s="4">
        <v>150560188</v>
      </c>
      <c r="R149" s="4">
        <v>-4043209</v>
      </c>
      <c r="S149" s="27">
        <v>131258361</v>
      </c>
      <c r="T149" s="27">
        <v>127048348</v>
      </c>
      <c r="U149" s="27">
        <v>142729491</v>
      </c>
      <c r="V149" s="27">
        <v>141263552</v>
      </c>
      <c r="W149" s="27">
        <v>2579576</v>
      </c>
      <c r="X149" s="27">
        <v>4169469</v>
      </c>
      <c r="Y149" s="27">
        <v>46281290</v>
      </c>
      <c r="Z149" s="27">
        <v>38820700</v>
      </c>
      <c r="AA149" s="27">
        <f>116877578-SUM(X149:Z149)</f>
        <v>27606119</v>
      </c>
      <c r="AB149" s="27">
        <f>SUM(X149:AA149)</f>
        <v>116877578</v>
      </c>
      <c r="AC149" s="27">
        <v>38820700</v>
      </c>
      <c r="AD149" s="27">
        <v>0</v>
      </c>
      <c r="AE149" s="27">
        <f t="shared" si="163"/>
        <v>38820700</v>
      </c>
      <c r="AF149" s="27">
        <v>0</v>
      </c>
      <c r="AG149" s="27">
        <v>10828600</v>
      </c>
      <c r="AH149" s="27">
        <v>10270900</v>
      </c>
      <c r="AI149" s="27">
        <v>3283900</v>
      </c>
      <c r="AJ149" s="26">
        <v>41821</v>
      </c>
      <c r="AK149" s="39">
        <v>0</v>
      </c>
      <c r="AL149" s="39">
        <v>102954000</v>
      </c>
      <c r="AM149" s="39">
        <f t="shared" si="164"/>
        <v>102954000</v>
      </c>
      <c r="AN149" s="40">
        <f t="shared" si="168"/>
        <v>0</v>
      </c>
      <c r="AO149" s="49"/>
      <c r="AP149" s="50" t="s">
        <v>295</v>
      </c>
      <c r="AQ149" s="27">
        <f>1349133+3690619</f>
        <v>5039752</v>
      </c>
      <c r="AR149" s="27">
        <f>1521271+3795161</f>
        <v>5316432</v>
      </c>
      <c r="AS149" s="27">
        <v>0</v>
      </c>
      <c r="AT149" s="27">
        <v>0</v>
      </c>
      <c r="AU149" s="27">
        <v>293758</v>
      </c>
      <c r="AV149" s="27">
        <v>211387</v>
      </c>
      <c r="AW149" s="27">
        <v>9873604</v>
      </c>
      <c r="AX149" s="27">
        <f t="shared" si="165"/>
        <v>10378749</v>
      </c>
      <c r="AY149" s="27">
        <v>35752</v>
      </c>
      <c r="AZ149" s="27">
        <v>6754737</v>
      </c>
      <c r="BA149" s="27">
        <v>7296751</v>
      </c>
      <c r="BB149" s="27">
        <v>893558</v>
      </c>
      <c r="BC149" s="27">
        <v>8550795</v>
      </c>
      <c r="BD149" s="27">
        <f t="shared" si="166"/>
        <v>23531593</v>
      </c>
      <c r="BE149" s="29">
        <f t="shared" si="140"/>
        <v>3.4397051006627703E-2</v>
      </c>
      <c r="BF149" s="29">
        <f t="shared" si="141"/>
        <v>8.1691333759019047E-2</v>
      </c>
      <c r="BG149" s="29">
        <f t="shared" si="142"/>
        <v>0.4818300819593066</v>
      </c>
      <c r="BH149" s="42">
        <f>VLOOKUP(B149,Unemployment!$A$2:$F$193,6,0)</f>
        <v>-0.39999999999999947</v>
      </c>
      <c r="BI149" s="29">
        <f>VLOOKUP(B149,Zillow!$C$11:$R$193,16,0)</f>
        <v>-5.3191489361699446E-3</v>
      </c>
      <c r="BJ149" s="5"/>
      <c r="BK149" s="6">
        <v>10</v>
      </c>
      <c r="BL149" s="6">
        <v>40</v>
      </c>
      <c r="BM149" s="6">
        <v>30</v>
      </c>
      <c r="BN149" s="6">
        <v>10</v>
      </c>
      <c r="BO149" s="6">
        <v>10</v>
      </c>
      <c r="BP149" s="5"/>
      <c r="BQ149" s="43">
        <v>0.2</v>
      </c>
      <c r="BR149" s="43">
        <v>0.02</v>
      </c>
      <c r="BS149" s="43">
        <v>2.2000000000000002</v>
      </c>
      <c r="BT149" s="44">
        <v>0.02</v>
      </c>
      <c r="BU149" s="43">
        <v>-7.0000000000000007E-2</v>
      </c>
      <c r="BV149" s="5"/>
      <c r="BW149" s="43">
        <v>0.05</v>
      </c>
      <c r="BX149" s="43">
        <v>0.32</v>
      </c>
      <c r="BY149" s="43">
        <v>0.4</v>
      </c>
      <c r="BZ149" s="44">
        <v>0</v>
      </c>
      <c r="CA149" s="43">
        <v>0.03</v>
      </c>
      <c r="CB149" s="5"/>
      <c r="CC149" s="45">
        <f t="shared" si="143"/>
        <v>-1.5000000000000003E-2</v>
      </c>
      <c r="CD149" s="45">
        <f t="shared" si="144"/>
        <v>7.4999999999999997E-3</v>
      </c>
      <c r="CE149" s="45">
        <f t="shared" si="145"/>
        <v>-6.0000000000000012E-2</v>
      </c>
      <c r="CF149" s="46">
        <f t="shared" si="146"/>
        <v>-2E-3</v>
      </c>
      <c r="CG149" s="45">
        <f t="shared" si="147"/>
        <v>0.01</v>
      </c>
      <c r="CH149" s="5"/>
      <c r="CI149" s="44">
        <f t="shared" si="148"/>
        <v>10</v>
      </c>
      <c r="CJ149" s="44">
        <f t="shared" si="149"/>
        <v>8.2255111678692057</v>
      </c>
      <c r="CK149" s="44">
        <f t="shared" si="150"/>
        <v>28.636165300678218</v>
      </c>
      <c r="CL149" s="44">
        <f t="shared" si="151"/>
        <v>10</v>
      </c>
      <c r="CM149" s="44">
        <f t="shared" si="152"/>
        <v>6.4680851063830058</v>
      </c>
      <c r="CN149" s="47">
        <f t="shared" si="153"/>
        <v>0</v>
      </c>
      <c r="CO149" s="5"/>
      <c r="CP149" s="47">
        <f t="shared" si="154"/>
        <v>4.1897051006627703E-2</v>
      </c>
      <c r="CQ149" s="47">
        <f t="shared" si="155"/>
        <v>1.4308666240980941E-2</v>
      </c>
      <c r="CR149" s="47">
        <f t="shared" si="156"/>
        <v>1.2018300819593069</v>
      </c>
      <c r="CS149" s="47">
        <f t="shared" si="157"/>
        <v>0.39999999999999947</v>
      </c>
      <c r="CT149" s="47">
        <f t="shared" si="158"/>
        <v>8.3191489361699438E-3</v>
      </c>
      <c r="CU149" s="47">
        <f t="shared" si="159"/>
        <v>1.666354948143085</v>
      </c>
    </row>
    <row r="150" spans="1:99" ht="15" customHeight="1">
      <c r="A150" s="5"/>
      <c r="B150" s="37" t="s">
        <v>26</v>
      </c>
      <c r="C150" s="37" t="s">
        <v>252</v>
      </c>
      <c r="D150" s="37" t="s">
        <v>255</v>
      </c>
      <c r="E150" s="26">
        <v>42551</v>
      </c>
      <c r="F150" s="38">
        <f t="shared" ref="F150:F175" si="170">SUM(CI150:CN150)</f>
        <v>62.591888212535103</v>
      </c>
      <c r="G150" s="4">
        <f>429156481-97331811-236391906</f>
        <v>95432764</v>
      </c>
      <c r="H150" s="4">
        <f>285629084-249179197-15139915</f>
        <v>21309972</v>
      </c>
      <c r="I150" s="4">
        <v>429156481</v>
      </c>
      <c r="J150" s="4">
        <v>143537097</v>
      </c>
      <c r="K150" s="4">
        <v>-27992637</v>
      </c>
      <c r="L150" s="4">
        <v>149591865</v>
      </c>
      <c r="M150" s="4">
        <v>2990260</v>
      </c>
      <c r="N150" s="4">
        <v>22042411</v>
      </c>
      <c r="O150" s="4">
        <v>22143532</v>
      </c>
      <c r="P150" s="4">
        <f t="shared" si="167"/>
        <v>196768068</v>
      </c>
      <c r="Q150" s="4">
        <v>193959626</v>
      </c>
      <c r="R150" s="4">
        <v>2808442</v>
      </c>
      <c r="S150" s="27">
        <v>174688646</v>
      </c>
      <c r="T150" s="27">
        <v>173705412</v>
      </c>
      <c r="U150" s="27">
        <v>183077000</v>
      </c>
      <c r="V150" s="27">
        <v>192512822</v>
      </c>
      <c r="W150" s="27">
        <v>2086668</v>
      </c>
      <c r="X150" s="27">
        <f>4799695+10340220</f>
        <v>15139915</v>
      </c>
      <c r="Y150" s="27">
        <v>89295535</v>
      </c>
      <c r="Z150" s="27">
        <v>8897947</v>
      </c>
      <c r="AA150" s="27">
        <f>202798362+61520750-SUM(X150:Z150)</f>
        <v>150985715</v>
      </c>
      <c r="AB150" s="27">
        <f>SUM(X150:AA150)</f>
        <v>264319112</v>
      </c>
      <c r="AC150" s="27">
        <v>8897947</v>
      </c>
      <c r="AD150" s="27">
        <v>0</v>
      </c>
      <c r="AE150" s="27">
        <f t="shared" si="163"/>
        <v>8897947</v>
      </c>
      <c r="AF150" s="27">
        <v>0</v>
      </c>
      <c r="AG150" s="27">
        <v>1757696</v>
      </c>
      <c r="AH150" s="27">
        <v>1825486</v>
      </c>
      <c r="AI150" s="27">
        <v>900291</v>
      </c>
      <c r="AJ150" s="26">
        <v>41821</v>
      </c>
      <c r="AK150" s="39">
        <v>28730</v>
      </c>
      <c r="AL150" s="39">
        <v>32052498</v>
      </c>
      <c r="AM150" s="39">
        <f t="shared" si="164"/>
        <v>32023768</v>
      </c>
      <c r="AN150" s="40">
        <f t="shared" si="168"/>
        <v>8.9634199493593295E-4</v>
      </c>
      <c r="AO150" s="40">
        <v>4.4999999999999998E-2</v>
      </c>
      <c r="AP150" s="40"/>
      <c r="AQ150" s="27">
        <f t="shared" ref="AQ150:AR150" si="171">4144000+2907000</f>
        <v>7051000</v>
      </c>
      <c r="AR150" s="27">
        <f t="shared" si="171"/>
        <v>7051000</v>
      </c>
      <c r="AS150" s="27">
        <v>1640620</v>
      </c>
      <c r="AT150" s="27">
        <v>0</v>
      </c>
      <c r="AU150" s="27">
        <v>861526</v>
      </c>
      <c r="AV150" s="27">
        <v>80999</v>
      </c>
      <c r="AW150" s="27">
        <v>19757957</v>
      </c>
      <c r="AX150" s="27">
        <f t="shared" si="165"/>
        <v>22341102</v>
      </c>
      <c r="AY150" s="27">
        <v>1851288</v>
      </c>
      <c r="AZ150" s="27">
        <v>5251</v>
      </c>
      <c r="BA150" s="27">
        <v>7314026</v>
      </c>
      <c r="BB150" s="27">
        <v>80999</v>
      </c>
      <c r="BC150" s="27">
        <v>2446253</v>
      </c>
      <c r="BD150" s="27">
        <f t="shared" si="166"/>
        <v>11697817</v>
      </c>
      <c r="BE150" s="29">
        <f t="shared" ref="BE150:BE175" si="172">AQ150/P150</f>
        <v>3.5834066328282496E-2</v>
      </c>
      <c r="BF150" s="29">
        <f t="shared" ref="BF150:BF175" si="173">AX150/T150</f>
        <v>0.1286148873703486</v>
      </c>
      <c r="BG150" s="29">
        <f t="shared" ref="BG150:BG175" si="174">(AB150-Y150)/P150</f>
        <v>0.88949176956903397</v>
      </c>
      <c r="BH150" s="42">
        <f>VLOOKUP(B150,Unemployment!$A$2:$F$193,6,0)</f>
        <v>-0.5</v>
      </c>
      <c r="BI150" s="29">
        <f>VLOOKUP(B150,Zillow!$C$11:$R$193,16,0)</f>
        <v>-7.3190061069414551E-3</v>
      </c>
      <c r="BJ150" s="5"/>
      <c r="BK150" s="6">
        <v>10</v>
      </c>
      <c r="BL150" s="6">
        <v>40</v>
      </c>
      <c r="BM150" s="6">
        <v>30</v>
      </c>
      <c r="BN150" s="6">
        <v>10</v>
      </c>
      <c r="BO150" s="6">
        <v>10</v>
      </c>
      <c r="BP150" s="5"/>
      <c r="BQ150" s="43">
        <v>0.2</v>
      </c>
      <c r="BR150" s="43">
        <v>0.02</v>
      </c>
      <c r="BS150" s="43">
        <v>2.2000000000000002</v>
      </c>
      <c r="BT150" s="44">
        <v>0.02</v>
      </c>
      <c r="BU150" s="43">
        <v>-7.0000000000000007E-2</v>
      </c>
      <c r="BV150" s="5"/>
      <c r="BW150" s="43">
        <v>0.05</v>
      </c>
      <c r="BX150" s="43">
        <v>0.32</v>
      </c>
      <c r="BY150" s="43">
        <v>0.4</v>
      </c>
      <c r="BZ150" s="44">
        <v>0</v>
      </c>
      <c r="CA150" s="43">
        <v>0.03</v>
      </c>
      <c r="CB150" s="5"/>
      <c r="CC150" s="45">
        <f t="shared" ref="CC150:CC175" si="175">(BW150-BQ150)/BK150</f>
        <v>-1.5000000000000003E-2</v>
      </c>
      <c r="CD150" s="45">
        <f t="shared" ref="CD150:CD175" si="176">(BX150-BR150)/BL150</f>
        <v>7.4999999999999997E-3</v>
      </c>
      <c r="CE150" s="45">
        <f t="shared" ref="CE150:CE175" si="177">(BY150-BS150)/BM150</f>
        <v>-6.0000000000000012E-2</v>
      </c>
      <c r="CF150" s="46">
        <f t="shared" ref="CF150:CF175" si="178">(BZ150-BT150)/BN150</f>
        <v>-2E-3</v>
      </c>
      <c r="CG150" s="45">
        <f t="shared" ref="CG150:CG175" si="179">(CA150-BU150)/BO150</f>
        <v>0.01</v>
      </c>
      <c r="CH150" s="5"/>
      <c r="CI150" s="44">
        <f t="shared" ref="CI150:CI175" si="180">MIN(MAX(0,(BE150-BQ150)/CC150),BK150)</f>
        <v>10</v>
      </c>
      <c r="CJ150" s="44">
        <f t="shared" ref="CJ150:CJ175" si="181">MIN(MAX(0,(BF150-BR150)/CD150),BL150)</f>
        <v>14.481984982713147</v>
      </c>
      <c r="CK150" s="44">
        <f t="shared" ref="CK150:CK175" si="182">MIN(MAX(0,(BG150-BS150)/CE150),BM150)</f>
        <v>21.8418038405161</v>
      </c>
      <c r="CL150" s="44">
        <f t="shared" ref="CL150:CL175" si="183">MIN(MAX(0,(BH150-BT150)/CF150),BN150)</f>
        <v>10</v>
      </c>
      <c r="CM150" s="44">
        <f t="shared" ref="CM150:CM175" si="184">MIN(MAX(0,(BI150-BU150)/CG150),BO150)</f>
        <v>6.2680993893058545</v>
      </c>
      <c r="CN150" s="47">
        <f t="shared" ref="CN150:CN181" si="185">IF(SUM(CI150:CM150)=100,CU150*0.00001,0)</f>
        <v>0</v>
      </c>
      <c r="CO150" s="5"/>
      <c r="CP150" s="47">
        <f t="shared" ref="CP150:CP175" si="186">ABS(BE150-BW150*CC150*BK150)</f>
        <v>4.3334066328282496E-2</v>
      </c>
      <c r="CQ150" s="47">
        <f t="shared" ref="CQ150:CQ175" si="187">ABS(BF150-BX150*CD150*BL150)</f>
        <v>3.2614887370348608E-2</v>
      </c>
      <c r="CR150" s="47">
        <f t="shared" ref="CR150:CR175" si="188">ABS(BG150-BY150*CE150*BM150)</f>
        <v>1.6094917695690341</v>
      </c>
      <c r="CS150" s="47">
        <f t="shared" ref="CS150:CS175" si="189">ABS(BH150-BZ150*CF150*BN150)</f>
        <v>0.5</v>
      </c>
      <c r="CT150" s="47">
        <f t="shared" ref="CT150:CT175" si="190">ABS(BI150-CA150*CG150*BO150)</f>
        <v>1.0319006106941454E-2</v>
      </c>
      <c r="CU150" s="47">
        <f t="shared" ref="CU150:CU181" si="191">SUM(CP150:CT150)</f>
        <v>2.1957597293746067</v>
      </c>
    </row>
    <row r="151" spans="1:99" ht="15" customHeight="1">
      <c r="A151" s="5"/>
      <c r="B151" s="37" t="s">
        <v>17</v>
      </c>
      <c r="C151" s="37" t="s">
        <v>252</v>
      </c>
      <c r="D151" s="37" t="s">
        <v>255</v>
      </c>
      <c r="E151" s="50" t="s">
        <v>263</v>
      </c>
      <c r="F151" s="38">
        <f t="shared" si="170"/>
        <v>59.496214715305442</v>
      </c>
      <c r="G151" s="4">
        <f>9974221-8771280-299065</f>
        <v>903876</v>
      </c>
      <c r="H151" s="4">
        <f>4004571-3662662-141801</f>
        <v>200108</v>
      </c>
      <c r="I151" s="4">
        <v>9974221</v>
      </c>
      <c r="J151" s="4">
        <v>5969650</v>
      </c>
      <c r="K151" s="4">
        <v>-615289</v>
      </c>
      <c r="L151" s="4">
        <f>2692767+33376+3356+1523</f>
        <v>2731022</v>
      </c>
      <c r="M151" s="4">
        <v>10458</v>
      </c>
      <c r="N151" s="4">
        <v>48761</v>
      </c>
      <c r="O151" s="4">
        <v>603872</v>
      </c>
      <c r="P151" s="4">
        <f t="shared" si="167"/>
        <v>3394113</v>
      </c>
      <c r="Q151" s="4">
        <v>3653189</v>
      </c>
      <c r="R151" s="4">
        <v>-259076</v>
      </c>
      <c r="S151" s="27">
        <v>3287278</v>
      </c>
      <c r="T151" s="27">
        <v>3291206</v>
      </c>
      <c r="U151" s="27">
        <v>3347214</v>
      </c>
      <c r="V151" s="27">
        <v>3383856</v>
      </c>
      <c r="W151" s="27">
        <v>-5538</v>
      </c>
      <c r="X151" s="27">
        <v>141801</v>
      </c>
      <c r="Y151" s="27">
        <v>0</v>
      </c>
      <c r="Z151" s="27">
        <v>1225525</v>
      </c>
      <c r="AA151" s="27">
        <f>3804463-1225525-0-141801</f>
        <v>2437137</v>
      </c>
      <c r="AB151" s="27">
        <f>X151+Y151+Z151+AA151</f>
        <v>3804463</v>
      </c>
      <c r="AC151" s="27">
        <v>1225525</v>
      </c>
      <c r="AD151" s="27">
        <v>0</v>
      </c>
      <c r="AE151" s="27">
        <f t="shared" si="163"/>
        <v>1225525</v>
      </c>
      <c r="AF151" s="27">
        <v>0</v>
      </c>
      <c r="AG151" s="27">
        <v>243625</v>
      </c>
      <c r="AH151" s="27">
        <v>230577</v>
      </c>
      <c r="AI151" s="27">
        <v>0</v>
      </c>
      <c r="AJ151" s="50" t="s">
        <v>263</v>
      </c>
      <c r="AK151" s="51">
        <v>0</v>
      </c>
      <c r="AL151" s="39">
        <v>1847472</v>
      </c>
      <c r="AM151" s="39">
        <f t="shared" si="164"/>
        <v>1847472</v>
      </c>
      <c r="AN151" s="40">
        <f t="shared" si="168"/>
        <v>0</v>
      </c>
      <c r="AO151" s="40">
        <v>3.5000000000000003E-2</v>
      </c>
      <c r="AP151" s="50" t="s">
        <v>312</v>
      </c>
      <c r="AQ151" s="27"/>
      <c r="AR151" s="27"/>
      <c r="AS151" s="27">
        <v>0</v>
      </c>
      <c r="AT151" s="27">
        <v>0</v>
      </c>
      <c r="AU151" s="27">
        <v>0</v>
      </c>
      <c r="AV151" s="27">
        <v>160000</v>
      </c>
      <c r="AW151" s="27">
        <v>244618</v>
      </c>
      <c r="AX151" s="27">
        <f t="shared" si="165"/>
        <v>404618</v>
      </c>
      <c r="AY151" s="27">
        <v>23900</v>
      </c>
      <c r="AZ151" s="27">
        <v>63753</v>
      </c>
      <c r="BA151" s="27">
        <v>0</v>
      </c>
      <c r="BB151" s="27">
        <v>351212</v>
      </c>
      <c r="BC151" s="27">
        <v>244618</v>
      </c>
      <c r="BD151" s="27">
        <f t="shared" si="166"/>
        <v>683483</v>
      </c>
      <c r="BE151" s="29">
        <f t="shared" si="172"/>
        <v>0</v>
      </c>
      <c r="BF151" s="29">
        <f t="shared" si="173"/>
        <v>0.12293912930396943</v>
      </c>
      <c r="BG151" s="29">
        <f t="shared" si="174"/>
        <v>1.120900512151481</v>
      </c>
      <c r="BH151" s="42">
        <f>VLOOKUP(B151,Unemployment!$A$2:$F$193,6,0)</f>
        <v>-0.5</v>
      </c>
      <c r="BI151" s="52">
        <f>VLOOKUP(VLOOKUP(B151,Counties!$A$20:$E$189,2,0),Zillow!$C$3:$R$10,16,0)</f>
        <v>7.8600601063419911E-3</v>
      </c>
      <c r="BJ151" s="5"/>
      <c r="BK151" s="6">
        <v>10</v>
      </c>
      <c r="BL151" s="6">
        <v>40</v>
      </c>
      <c r="BM151" s="6">
        <v>30</v>
      </c>
      <c r="BN151" s="6">
        <v>10</v>
      </c>
      <c r="BO151" s="6">
        <v>10</v>
      </c>
      <c r="BP151" s="5"/>
      <c r="BQ151" s="43">
        <v>0.2</v>
      </c>
      <c r="BR151" s="43">
        <v>0.02</v>
      </c>
      <c r="BS151" s="43">
        <v>2.2000000000000002</v>
      </c>
      <c r="BT151" s="44">
        <v>0.02</v>
      </c>
      <c r="BU151" s="43">
        <v>-7.0000000000000007E-2</v>
      </c>
      <c r="BV151" s="5"/>
      <c r="BW151" s="43">
        <v>0.05</v>
      </c>
      <c r="BX151" s="43">
        <v>0.32</v>
      </c>
      <c r="BY151" s="43">
        <v>0.4</v>
      </c>
      <c r="BZ151" s="44">
        <v>0</v>
      </c>
      <c r="CA151" s="43">
        <v>0.03</v>
      </c>
      <c r="CB151" s="5"/>
      <c r="CC151" s="45">
        <f t="shared" si="175"/>
        <v>-1.5000000000000003E-2</v>
      </c>
      <c r="CD151" s="45">
        <f t="shared" si="176"/>
        <v>7.4999999999999997E-3</v>
      </c>
      <c r="CE151" s="45">
        <f t="shared" si="177"/>
        <v>-6.0000000000000012E-2</v>
      </c>
      <c r="CF151" s="46">
        <f t="shared" si="178"/>
        <v>-2E-3</v>
      </c>
      <c r="CG151" s="45">
        <f t="shared" si="179"/>
        <v>0.01</v>
      </c>
      <c r="CH151" s="5"/>
      <c r="CI151" s="44">
        <f t="shared" si="180"/>
        <v>10</v>
      </c>
      <c r="CJ151" s="44">
        <f t="shared" si="181"/>
        <v>13.725217240529258</v>
      </c>
      <c r="CK151" s="44">
        <f t="shared" si="182"/>
        <v>17.984991464141984</v>
      </c>
      <c r="CL151" s="44">
        <f t="shared" si="183"/>
        <v>10</v>
      </c>
      <c r="CM151" s="44">
        <f t="shared" si="184"/>
        <v>7.7860060106341997</v>
      </c>
      <c r="CN151" s="47">
        <f t="shared" si="185"/>
        <v>0</v>
      </c>
      <c r="CO151" s="5"/>
      <c r="CP151" s="47">
        <f t="shared" si="186"/>
        <v>7.5000000000000023E-3</v>
      </c>
      <c r="CQ151" s="47">
        <f t="shared" si="187"/>
        <v>2.6939129303969439E-2</v>
      </c>
      <c r="CR151" s="47">
        <f t="shared" si="188"/>
        <v>1.8409005121514812</v>
      </c>
      <c r="CS151" s="47">
        <f t="shared" si="189"/>
        <v>0.5</v>
      </c>
      <c r="CT151" s="47">
        <f t="shared" si="190"/>
        <v>4.8600601063419919E-3</v>
      </c>
      <c r="CU151" s="47">
        <f t="shared" si="191"/>
        <v>2.3801997015617928</v>
      </c>
    </row>
    <row r="152" spans="1:99" ht="15" customHeight="1">
      <c r="A152" s="5"/>
      <c r="B152" s="37" t="s">
        <v>127</v>
      </c>
      <c r="C152" s="37" t="s">
        <v>252</v>
      </c>
      <c r="D152" s="37" t="s">
        <v>255</v>
      </c>
      <c r="E152" s="50" t="s">
        <v>263</v>
      </c>
      <c r="F152" s="38">
        <f t="shared" si="170"/>
        <v>78.740173102055195</v>
      </c>
      <c r="G152" s="4">
        <v>45686998</v>
      </c>
      <c r="H152" s="4">
        <v>13262501</v>
      </c>
      <c r="I152" s="4">
        <v>219642123</v>
      </c>
      <c r="J152" s="4">
        <v>104476180</v>
      </c>
      <c r="K152" s="4">
        <v>-21876699</v>
      </c>
      <c r="L152" s="4">
        <f>66111585+898432+6437+648958+10725</f>
        <v>67676137</v>
      </c>
      <c r="M152" s="4">
        <v>2103584</v>
      </c>
      <c r="N152" s="4">
        <v>11951182</v>
      </c>
      <c r="O152" s="4">
        <v>33703632</v>
      </c>
      <c r="P152" s="4">
        <f t="shared" si="167"/>
        <v>115434535</v>
      </c>
      <c r="Q152" s="4">
        <v>110997359</v>
      </c>
      <c r="R152" s="4">
        <f>P152-Q152</f>
        <v>4437176</v>
      </c>
      <c r="S152" s="27">
        <v>95243807</v>
      </c>
      <c r="T152" s="27">
        <v>89945808</v>
      </c>
      <c r="U152" s="27">
        <v>110385221</v>
      </c>
      <c r="V152" s="27">
        <v>112125574</v>
      </c>
      <c r="W152" s="27">
        <v>2675469</v>
      </c>
      <c r="X152" s="27">
        <f>5860854+90575</f>
        <v>5951429</v>
      </c>
      <c r="Y152" s="27">
        <f>54752836+3209631</f>
        <v>57962467</v>
      </c>
      <c r="Z152" s="27">
        <f>1222729+47121</f>
        <v>1269850</v>
      </c>
      <c r="AA152" s="27">
        <f>111061953+3606182-1269850-57962467-5951429</f>
        <v>49484389</v>
      </c>
      <c r="AB152" s="27">
        <f>X152+Y152+Z152+AA152</f>
        <v>114668135</v>
      </c>
      <c r="AC152" s="27">
        <f t="shared" ref="AC152:AE152" si="192">644899+624951+1171141</f>
        <v>2440991</v>
      </c>
      <c r="AD152" s="27"/>
      <c r="AE152" s="27">
        <f t="shared" si="192"/>
        <v>2440991</v>
      </c>
      <c r="AF152" s="27">
        <v>0</v>
      </c>
      <c r="AG152" s="27">
        <f>196853+192158+295568</f>
        <v>684579</v>
      </c>
      <c r="AH152" s="27">
        <f>201300+196511+304647</f>
        <v>702458</v>
      </c>
      <c r="AI152" s="27">
        <f>148497+151155+342407</f>
        <v>642059</v>
      </c>
      <c r="AJ152" s="50" t="s">
        <v>263</v>
      </c>
      <c r="AK152" s="53">
        <f>162026+75007</f>
        <v>237033</v>
      </c>
      <c r="AL152" s="53">
        <f>1948615+1494936+3007647</f>
        <v>6451198</v>
      </c>
      <c r="AM152" s="39">
        <f t="shared" si="164"/>
        <v>6214165</v>
      </c>
      <c r="AN152" s="40">
        <f t="shared" si="168"/>
        <v>3.674247790875431E-2</v>
      </c>
      <c r="AO152" s="40"/>
      <c r="AP152" s="49"/>
      <c r="AQ152" s="27">
        <f t="shared" ref="AQ152:AR152" si="193">1639455+2383370+39924</f>
        <v>4062749</v>
      </c>
      <c r="AR152" s="27">
        <f t="shared" si="193"/>
        <v>4062749</v>
      </c>
      <c r="AS152" s="27">
        <v>0</v>
      </c>
      <c r="AT152" s="27">
        <v>0</v>
      </c>
      <c r="AU152" s="27">
        <v>0</v>
      </c>
      <c r="AV152" s="27">
        <v>2729466</v>
      </c>
      <c r="AW152" s="27">
        <v>14230790</v>
      </c>
      <c r="AX152" s="27">
        <f t="shared" si="165"/>
        <v>16960256</v>
      </c>
      <c r="AY152" s="27">
        <v>1740472</v>
      </c>
      <c r="AZ152" s="27">
        <v>1570851</v>
      </c>
      <c r="BA152" s="27">
        <v>7899613</v>
      </c>
      <c r="BB152" s="27">
        <v>2909466</v>
      </c>
      <c r="BC152" s="27">
        <v>13300979</v>
      </c>
      <c r="BD152" s="27">
        <f t="shared" si="166"/>
        <v>27421381</v>
      </c>
      <c r="BE152" s="29">
        <f t="shared" si="172"/>
        <v>3.519526457138672E-2</v>
      </c>
      <c r="BF152" s="29">
        <f t="shared" si="173"/>
        <v>0.18856082764857701</v>
      </c>
      <c r="BG152" s="29">
        <f t="shared" si="174"/>
        <v>0.49123659570335687</v>
      </c>
      <c r="BH152" s="42">
        <f>VLOOKUP(B152,Unemployment!$A$2:$F$193,6,0)</f>
        <v>-0.59999999999999964</v>
      </c>
      <c r="BI152" s="52">
        <f>VLOOKUP(VLOOKUP(B152,Counties!$A$20:$E$189,2,0),Zillow!$C$3:$R$10,16,0)</f>
        <v>7.8600601063419911E-3</v>
      </c>
      <c r="BJ152" s="5"/>
      <c r="BK152" s="6">
        <v>10</v>
      </c>
      <c r="BL152" s="6">
        <v>40</v>
      </c>
      <c r="BM152" s="6">
        <v>30</v>
      </c>
      <c r="BN152" s="6">
        <v>10</v>
      </c>
      <c r="BO152" s="6">
        <v>10</v>
      </c>
      <c r="BP152" s="5"/>
      <c r="BQ152" s="43">
        <v>0.2</v>
      </c>
      <c r="BR152" s="43">
        <v>0.02</v>
      </c>
      <c r="BS152" s="43">
        <v>2.2000000000000002</v>
      </c>
      <c r="BT152" s="44">
        <v>0.02</v>
      </c>
      <c r="BU152" s="43">
        <v>-7.0000000000000007E-2</v>
      </c>
      <c r="BV152" s="5"/>
      <c r="BW152" s="43">
        <v>0.05</v>
      </c>
      <c r="BX152" s="43">
        <v>0.32</v>
      </c>
      <c r="BY152" s="43">
        <v>0.4</v>
      </c>
      <c r="BZ152" s="44">
        <v>0</v>
      </c>
      <c r="CA152" s="43">
        <v>0.03</v>
      </c>
      <c r="CB152" s="5"/>
      <c r="CC152" s="45">
        <f t="shared" si="175"/>
        <v>-1.5000000000000003E-2</v>
      </c>
      <c r="CD152" s="45">
        <f t="shared" si="176"/>
        <v>7.4999999999999997E-3</v>
      </c>
      <c r="CE152" s="45">
        <f t="shared" si="177"/>
        <v>-6.0000000000000012E-2</v>
      </c>
      <c r="CF152" s="46">
        <f t="shared" si="178"/>
        <v>-2E-3</v>
      </c>
      <c r="CG152" s="45">
        <f t="shared" si="179"/>
        <v>0.01</v>
      </c>
      <c r="CH152" s="5"/>
      <c r="CI152" s="44">
        <f t="shared" si="180"/>
        <v>10</v>
      </c>
      <c r="CJ152" s="44">
        <f t="shared" si="181"/>
        <v>22.474777019810272</v>
      </c>
      <c r="CK152" s="44">
        <f t="shared" si="182"/>
        <v>28.479390071610716</v>
      </c>
      <c r="CL152" s="44">
        <f t="shared" si="183"/>
        <v>10</v>
      </c>
      <c r="CM152" s="44">
        <f t="shared" si="184"/>
        <v>7.7860060106341997</v>
      </c>
      <c r="CN152" s="47">
        <f t="shared" si="185"/>
        <v>0</v>
      </c>
      <c r="CO152" s="5"/>
      <c r="CP152" s="47">
        <f t="shared" si="186"/>
        <v>4.2695264571386719E-2</v>
      </c>
      <c r="CQ152" s="47">
        <f t="shared" si="187"/>
        <v>9.2560827648577024E-2</v>
      </c>
      <c r="CR152" s="47">
        <f t="shared" si="188"/>
        <v>1.2112365957033571</v>
      </c>
      <c r="CS152" s="47">
        <f t="shared" si="189"/>
        <v>0.59999999999999964</v>
      </c>
      <c r="CT152" s="47">
        <f t="shared" si="190"/>
        <v>4.8600601063419919E-3</v>
      </c>
      <c r="CU152" s="47">
        <f t="shared" si="191"/>
        <v>1.9513527480296624</v>
      </c>
    </row>
    <row r="153" spans="1:99" ht="15" customHeight="1">
      <c r="A153" s="5"/>
      <c r="B153" s="37" t="s">
        <v>138</v>
      </c>
      <c r="C153" s="37" t="s">
        <v>252</v>
      </c>
      <c r="D153" s="37" t="s">
        <v>255</v>
      </c>
      <c r="E153" s="26">
        <v>42551</v>
      </c>
      <c r="F153" s="38">
        <f t="shared" si="170"/>
        <v>80.503572657731937</v>
      </c>
      <c r="G153" s="4">
        <f>12974187-9374280-381681</f>
        <v>3218226</v>
      </c>
      <c r="H153" s="4">
        <v>424863</v>
      </c>
      <c r="I153" s="4">
        <v>12974187</v>
      </c>
      <c r="J153" s="4">
        <v>12549324</v>
      </c>
      <c r="K153" s="4">
        <v>2793363</v>
      </c>
      <c r="L153" s="4">
        <v>5807440</v>
      </c>
      <c r="M153" s="4">
        <v>497827</v>
      </c>
      <c r="N153" s="4">
        <v>115141</v>
      </c>
      <c r="O153" s="4">
        <v>3783838</v>
      </c>
      <c r="P153" s="4">
        <f t="shared" si="167"/>
        <v>10204246</v>
      </c>
      <c r="Q153" s="4">
        <v>9637701</v>
      </c>
      <c r="R153" s="4">
        <v>566545</v>
      </c>
      <c r="S153" s="27">
        <v>9493346</v>
      </c>
      <c r="T153" s="27">
        <v>8664453</v>
      </c>
      <c r="U153" s="27">
        <v>10233207</v>
      </c>
      <c r="V153" s="27">
        <v>10213894</v>
      </c>
      <c r="W153" s="27">
        <v>826506</v>
      </c>
      <c r="X153" s="27">
        <v>0</v>
      </c>
      <c r="Y153" s="27">
        <v>0</v>
      </c>
      <c r="Z153" s="27">
        <v>0</v>
      </c>
      <c r="AA153" s="27">
        <v>0</v>
      </c>
      <c r="AB153" s="27">
        <f>SUM(X153:AA153)</f>
        <v>0</v>
      </c>
      <c r="AC153" s="27"/>
      <c r="AD153" s="27"/>
      <c r="AE153" s="27"/>
      <c r="AF153" s="27"/>
      <c r="AG153" s="27"/>
      <c r="AH153" s="27"/>
      <c r="AI153" s="27"/>
      <c r="AJ153" s="26"/>
      <c r="AK153" s="39"/>
      <c r="AL153" s="39"/>
      <c r="AM153" s="39"/>
      <c r="AN153" s="40"/>
      <c r="AO153" s="49"/>
      <c r="AP153" s="40"/>
      <c r="AQ153" s="27"/>
      <c r="AR153" s="27"/>
      <c r="AS153" s="27">
        <v>95000</v>
      </c>
      <c r="AT153" s="27">
        <v>0</v>
      </c>
      <c r="AU153" s="27">
        <v>0</v>
      </c>
      <c r="AV153" s="27">
        <v>33530</v>
      </c>
      <c r="AW153" s="27">
        <v>1626907</v>
      </c>
      <c r="AX153" s="27">
        <f t="shared" si="165"/>
        <v>1755437</v>
      </c>
      <c r="AY153" s="27">
        <v>95000</v>
      </c>
      <c r="AZ153" s="27">
        <v>356526</v>
      </c>
      <c r="BA153" s="27">
        <v>553168</v>
      </c>
      <c r="BB153" s="27">
        <v>33530</v>
      </c>
      <c r="BC153" s="27">
        <v>1538651</v>
      </c>
      <c r="BD153" s="27">
        <f t="shared" si="166"/>
        <v>2576875</v>
      </c>
      <c r="BE153" s="29">
        <f t="shared" si="172"/>
        <v>0</v>
      </c>
      <c r="BF153" s="29">
        <f t="shared" si="173"/>
        <v>0.20260217234717529</v>
      </c>
      <c r="BG153" s="29">
        <f t="shared" si="174"/>
        <v>0</v>
      </c>
      <c r="BH153" s="42">
        <f>VLOOKUP(B153,Unemployment!$A$2:$F$193,6,0)</f>
        <v>-0.90000000000000036</v>
      </c>
      <c r="BI153" s="29">
        <f>VLOOKUP(B153,Zillow!$C$11:$R$193,16,0)</f>
        <v>-8.4338365522477147E-3</v>
      </c>
      <c r="BJ153" s="5"/>
      <c r="BK153" s="6">
        <v>10</v>
      </c>
      <c r="BL153" s="6">
        <v>40</v>
      </c>
      <c r="BM153" s="6">
        <v>30</v>
      </c>
      <c r="BN153" s="6">
        <v>10</v>
      </c>
      <c r="BO153" s="6">
        <v>10</v>
      </c>
      <c r="BP153" s="5"/>
      <c r="BQ153" s="43">
        <v>0.2</v>
      </c>
      <c r="BR153" s="43">
        <v>0.02</v>
      </c>
      <c r="BS153" s="43">
        <v>2.2000000000000002</v>
      </c>
      <c r="BT153" s="44">
        <v>0.02</v>
      </c>
      <c r="BU153" s="43">
        <v>-7.0000000000000007E-2</v>
      </c>
      <c r="BV153" s="5"/>
      <c r="BW153" s="43">
        <v>0.05</v>
      </c>
      <c r="BX153" s="43">
        <v>0.32</v>
      </c>
      <c r="BY153" s="43">
        <v>0.4</v>
      </c>
      <c r="BZ153" s="44">
        <v>0</v>
      </c>
      <c r="CA153" s="43">
        <v>0.03</v>
      </c>
      <c r="CB153" s="5"/>
      <c r="CC153" s="45">
        <f t="shared" si="175"/>
        <v>-1.5000000000000003E-2</v>
      </c>
      <c r="CD153" s="45">
        <f t="shared" si="176"/>
        <v>7.4999999999999997E-3</v>
      </c>
      <c r="CE153" s="45">
        <f t="shared" si="177"/>
        <v>-6.0000000000000012E-2</v>
      </c>
      <c r="CF153" s="46">
        <f t="shared" si="178"/>
        <v>-2E-3</v>
      </c>
      <c r="CG153" s="45">
        <f t="shared" si="179"/>
        <v>0.01</v>
      </c>
      <c r="CH153" s="5"/>
      <c r="CI153" s="44">
        <f t="shared" si="180"/>
        <v>10</v>
      </c>
      <c r="CJ153" s="44">
        <f t="shared" si="181"/>
        <v>24.346956312956706</v>
      </c>
      <c r="CK153" s="44">
        <f t="shared" si="182"/>
        <v>30</v>
      </c>
      <c r="CL153" s="44">
        <f t="shared" si="183"/>
        <v>10</v>
      </c>
      <c r="CM153" s="44">
        <f t="shared" si="184"/>
        <v>6.1566163447752293</v>
      </c>
      <c r="CN153" s="47">
        <f t="shared" si="185"/>
        <v>0</v>
      </c>
      <c r="CO153" s="5"/>
      <c r="CP153" s="47">
        <f t="shared" si="186"/>
        <v>7.5000000000000023E-3</v>
      </c>
      <c r="CQ153" s="47">
        <f t="shared" si="187"/>
        <v>0.1066021723471753</v>
      </c>
      <c r="CR153" s="47">
        <f t="shared" si="188"/>
        <v>0.7200000000000002</v>
      </c>
      <c r="CS153" s="47">
        <f t="shared" si="189"/>
        <v>0.90000000000000036</v>
      </c>
      <c r="CT153" s="47">
        <f t="shared" si="190"/>
        <v>1.1433836552247714E-2</v>
      </c>
      <c r="CU153" s="47">
        <f t="shared" si="191"/>
        <v>1.7455360088994236</v>
      </c>
    </row>
    <row r="154" spans="1:99" ht="15" customHeight="1">
      <c r="A154" s="5"/>
      <c r="B154" s="37" t="s">
        <v>134</v>
      </c>
      <c r="C154" s="37" t="s">
        <v>252</v>
      </c>
      <c r="D154" s="37" t="s">
        <v>255</v>
      </c>
      <c r="E154" s="50" t="s">
        <v>263</v>
      </c>
      <c r="F154" s="38">
        <f t="shared" si="170"/>
        <v>79.453943756217996</v>
      </c>
      <c r="G154" s="4">
        <f>134121*1000</f>
        <v>134121000</v>
      </c>
      <c r="H154" s="4">
        <f>27035*1000</f>
        <v>27035000</v>
      </c>
      <c r="I154" s="4">
        <v>481270000</v>
      </c>
      <c r="J154" s="4">
        <v>317404000</v>
      </c>
      <c r="K154" s="4">
        <v>8618000</v>
      </c>
      <c r="L154" s="4">
        <v>126313000</v>
      </c>
      <c r="M154" s="4">
        <f>9218*1000</f>
        <v>9218000</v>
      </c>
      <c r="N154" s="4">
        <f>100106*1000</f>
        <v>100106000</v>
      </c>
      <c r="O154" s="4">
        <v>41599000</v>
      </c>
      <c r="P154" s="4">
        <f t="shared" si="167"/>
        <v>277236000</v>
      </c>
      <c r="Q154" s="4">
        <f>440616*1000</f>
        <v>440616000</v>
      </c>
      <c r="R154" s="4">
        <f>P154-Q154</f>
        <v>-163380000</v>
      </c>
      <c r="S154" s="27">
        <v>163550000</v>
      </c>
      <c r="T154" s="27">
        <v>161304000</v>
      </c>
      <c r="U154" s="27">
        <v>178073000</v>
      </c>
      <c r="V154" s="27">
        <v>185038000</v>
      </c>
      <c r="W154" s="27">
        <v>1679000</v>
      </c>
      <c r="X154" s="27">
        <v>9563000</v>
      </c>
      <c r="Y154" s="27">
        <v>49545000</v>
      </c>
      <c r="Z154" s="27">
        <v>16472000</v>
      </c>
      <c r="AA154" s="27">
        <f>121579000-16472000-49545000-9563000</f>
        <v>45999000</v>
      </c>
      <c r="AB154" s="27">
        <f>X154+Y154+Z154+AA154</f>
        <v>121579000</v>
      </c>
      <c r="AC154" s="27">
        <v>16472000</v>
      </c>
      <c r="AD154" s="27">
        <v>0</v>
      </c>
      <c r="AE154" s="27">
        <f>AC154+AD154</f>
        <v>16472000</v>
      </c>
      <c r="AF154" s="27">
        <v>0</v>
      </c>
      <c r="AG154" s="27">
        <v>3942000</v>
      </c>
      <c r="AH154" s="27">
        <v>3717000</v>
      </c>
      <c r="AI154" s="27">
        <v>-1648000</v>
      </c>
      <c r="AJ154" s="50" t="s">
        <v>274</v>
      </c>
      <c r="AK154" s="51">
        <v>0</v>
      </c>
      <c r="AL154" s="39">
        <v>42492</v>
      </c>
      <c r="AM154" s="39">
        <f>AL154-AK154</f>
        <v>42492</v>
      </c>
      <c r="AN154" s="40">
        <f>AK154/AL154</f>
        <v>0</v>
      </c>
      <c r="AO154" s="49"/>
      <c r="AP154" s="49"/>
      <c r="AQ154" s="27">
        <f t="shared" ref="AQ154:AR154" si="194">8452*1000</f>
        <v>8452000</v>
      </c>
      <c r="AR154" s="27">
        <f t="shared" si="194"/>
        <v>8452000</v>
      </c>
      <c r="AS154" s="27">
        <v>126000</v>
      </c>
      <c r="AT154" s="27">
        <v>0</v>
      </c>
      <c r="AU154" s="27">
        <v>1517000</v>
      </c>
      <c r="AV154" s="27">
        <v>5098000</v>
      </c>
      <c r="AW154" s="27">
        <v>22509000</v>
      </c>
      <c r="AX154" s="27">
        <f t="shared" si="165"/>
        <v>29250000</v>
      </c>
      <c r="AY154" s="27">
        <v>1567000</v>
      </c>
      <c r="AZ154" s="27">
        <v>1036000</v>
      </c>
      <c r="BA154" s="27">
        <v>14924000</v>
      </c>
      <c r="BB154" s="27">
        <v>5098000</v>
      </c>
      <c r="BC154" s="27">
        <v>12991000</v>
      </c>
      <c r="BD154" s="27">
        <f t="shared" si="166"/>
        <v>35616000</v>
      </c>
      <c r="BE154" s="29">
        <f t="shared" si="172"/>
        <v>3.048666118397322E-2</v>
      </c>
      <c r="BF154" s="29">
        <f t="shared" si="173"/>
        <v>0.18133462282398452</v>
      </c>
      <c r="BG154" s="29">
        <f t="shared" si="174"/>
        <v>0.25982917081475709</v>
      </c>
      <c r="BH154" s="42">
        <f>VLOOKUP(B154,Unemployment!$A$2:$F$193,6,0)</f>
        <v>-0.5</v>
      </c>
      <c r="BI154" s="29">
        <f>VLOOKUP(B154,Zillow!$C$11:$R$193,16,0)</f>
        <v>9.4266071302006645E-3</v>
      </c>
      <c r="BJ154" s="5"/>
      <c r="BK154" s="6">
        <v>10</v>
      </c>
      <c r="BL154" s="6">
        <v>40</v>
      </c>
      <c r="BM154" s="6">
        <v>30</v>
      </c>
      <c r="BN154" s="6">
        <v>10</v>
      </c>
      <c r="BO154" s="6">
        <v>10</v>
      </c>
      <c r="BP154" s="5"/>
      <c r="BQ154" s="43">
        <v>0.2</v>
      </c>
      <c r="BR154" s="43">
        <v>0.02</v>
      </c>
      <c r="BS154" s="43">
        <v>2.2000000000000002</v>
      </c>
      <c r="BT154" s="44">
        <v>0.02</v>
      </c>
      <c r="BU154" s="43">
        <v>-7.0000000000000007E-2</v>
      </c>
      <c r="BV154" s="5"/>
      <c r="BW154" s="43">
        <v>0.05</v>
      </c>
      <c r="BX154" s="43">
        <v>0.32</v>
      </c>
      <c r="BY154" s="43">
        <v>0.4</v>
      </c>
      <c r="BZ154" s="44">
        <v>0</v>
      </c>
      <c r="CA154" s="43">
        <v>0.03</v>
      </c>
      <c r="CB154" s="5"/>
      <c r="CC154" s="45">
        <f t="shared" si="175"/>
        <v>-1.5000000000000003E-2</v>
      </c>
      <c r="CD154" s="45">
        <f t="shared" si="176"/>
        <v>7.4999999999999997E-3</v>
      </c>
      <c r="CE154" s="45">
        <f t="shared" si="177"/>
        <v>-6.0000000000000012E-2</v>
      </c>
      <c r="CF154" s="46">
        <f t="shared" si="178"/>
        <v>-2E-3</v>
      </c>
      <c r="CG154" s="45">
        <f t="shared" si="179"/>
        <v>0.01</v>
      </c>
      <c r="CH154" s="5"/>
      <c r="CI154" s="44">
        <f t="shared" si="180"/>
        <v>10</v>
      </c>
      <c r="CJ154" s="44">
        <f t="shared" si="181"/>
        <v>21.511283043197938</v>
      </c>
      <c r="CK154" s="44">
        <f t="shared" si="182"/>
        <v>30</v>
      </c>
      <c r="CL154" s="44">
        <f t="shared" si="183"/>
        <v>10</v>
      </c>
      <c r="CM154" s="44">
        <f t="shared" si="184"/>
        <v>7.9426607130200662</v>
      </c>
      <c r="CN154" s="47">
        <f t="shared" si="185"/>
        <v>0</v>
      </c>
      <c r="CO154" s="5"/>
      <c r="CP154" s="47">
        <f t="shared" si="186"/>
        <v>3.7986661183973223E-2</v>
      </c>
      <c r="CQ154" s="47">
        <f t="shared" si="187"/>
        <v>8.5334622823984532E-2</v>
      </c>
      <c r="CR154" s="47">
        <f t="shared" si="188"/>
        <v>0.97982917081475729</v>
      </c>
      <c r="CS154" s="47">
        <f t="shared" si="189"/>
        <v>0.5</v>
      </c>
      <c r="CT154" s="47">
        <f t="shared" si="190"/>
        <v>6.4266071302006653E-3</v>
      </c>
      <c r="CU154" s="47">
        <f t="shared" si="191"/>
        <v>1.6095770619529157</v>
      </c>
    </row>
    <row r="155" spans="1:99" ht="15" customHeight="1">
      <c r="A155" s="5"/>
      <c r="B155" s="37" t="s">
        <v>163</v>
      </c>
      <c r="C155" s="37" t="s">
        <v>252</v>
      </c>
      <c r="D155" s="37" t="s">
        <v>255</v>
      </c>
      <c r="E155" s="26">
        <v>42551</v>
      </c>
      <c r="F155" s="38">
        <f t="shared" si="170"/>
        <v>95.57200656876978</v>
      </c>
      <c r="G155" s="4">
        <v>2959184</v>
      </c>
      <c r="H155" s="4">
        <v>306027</v>
      </c>
      <c r="I155" s="4">
        <v>9681468</v>
      </c>
      <c r="J155" s="4">
        <v>7120634</v>
      </c>
      <c r="K155" s="55">
        <v>2365497</v>
      </c>
      <c r="L155" s="4">
        <v>5068588</v>
      </c>
      <c r="M155" s="4">
        <v>181741</v>
      </c>
      <c r="N155" s="4">
        <v>284601</v>
      </c>
      <c r="O155" s="4">
        <v>91775</v>
      </c>
      <c r="P155" s="4">
        <f t="shared" si="167"/>
        <v>5626705</v>
      </c>
      <c r="Q155" s="4">
        <v>5322838</v>
      </c>
      <c r="R155" s="4">
        <v>303867</v>
      </c>
      <c r="S155" s="27">
        <v>5427167</v>
      </c>
      <c r="T155" s="27">
        <v>5002887</v>
      </c>
      <c r="U155" s="27">
        <v>5707464</v>
      </c>
      <c r="V155" s="27">
        <v>5667061</v>
      </c>
      <c r="W155" s="27">
        <v>248780</v>
      </c>
      <c r="X155" s="27">
        <v>150000</v>
      </c>
      <c r="Y155" s="27">
        <v>332790</v>
      </c>
      <c r="Z155" s="27">
        <v>0</v>
      </c>
      <c r="AA155" s="27">
        <f>2432790-0-Y155-X155</f>
        <v>1950000</v>
      </c>
      <c r="AB155" s="27">
        <f>X155+Y155+Z155+AA155</f>
        <v>2432790</v>
      </c>
      <c r="AC155" s="27"/>
      <c r="AD155" s="27"/>
      <c r="AE155" s="27"/>
      <c r="AF155" s="27"/>
      <c r="AG155" s="27"/>
      <c r="AH155" s="27"/>
      <c r="AI155" s="27"/>
      <c r="AJ155" s="26"/>
      <c r="AK155" s="39"/>
      <c r="AL155" s="39"/>
      <c r="AM155" s="39"/>
      <c r="AN155" s="40"/>
      <c r="AO155" s="49"/>
      <c r="AP155" s="40"/>
      <c r="AQ155" s="27">
        <v>42072</v>
      </c>
      <c r="AR155" s="27">
        <v>38160</v>
      </c>
      <c r="AS155" s="27">
        <v>0</v>
      </c>
      <c r="AT155" s="27">
        <v>0</v>
      </c>
      <c r="AU155" s="27">
        <f>84365+3427</f>
        <v>87792</v>
      </c>
      <c r="AV155" s="27">
        <v>8300</v>
      </c>
      <c r="AW155" s="27">
        <v>1963034</v>
      </c>
      <c r="AX155" s="27">
        <f t="shared" si="165"/>
        <v>2059126</v>
      </c>
      <c r="AY155" s="27">
        <v>2350</v>
      </c>
      <c r="AZ155" s="27">
        <f>109506+23347</f>
        <v>132853</v>
      </c>
      <c r="BA155" s="27">
        <f>84365+41070+44129+117936+354702+39139+3427</f>
        <v>684768</v>
      </c>
      <c r="BB155" s="27">
        <v>8300</v>
      </c>
      <c r="BC155" s="27">
        <v>1963034</v>
      </c>
      <c r="BD155" s="27">
        <f t="shared" si="166"/>
        <v>2791305</v>
      </c>
      <c r="BE155" s="29">
        <f t="shared" si="172"/>
        <v>7.4772002441926494E-3</v>
      </c>
      <c r="BF155" s="29">
        <f t="shared" si="173"/>
        <v>0.41158754934900588</v>
      </c>
      <c r="BG155" s="29">
        <f t="shared" si="174"/>
        <v>0.37322020614196055</v>
      </c>
      <c r="BH155" s="42">
        <f>VLOOKUP(B155,Unemployment!$A$2:$F$193,6,0)</f>
        <v>-0.70000000000000018</v>
      </c>
      <c r="BI155" s="29">
        <f>VLOOKUP(B155,Zillow!$C$11:$R$193,16,0)</f>
        <v>-1.4279934312302163E-2</v>
      </c>
      <c r="BJ155" s="5"/>
      <c r="BK155" s="6">
        <v>10</v>
      </c>
      <c r="BL155" s="6">
        <v>40</v>
      </c>
      <c r="BM155" s="6">
        <v>30</v>
      </c>
      <c r="BN155" s="6">
        <v>10</v>
      </c>
      <c r="BO155" s="6">
        <v>10</v>
      </c>
      <c r="BP155" s="5"/>
      <c r="BQ155" s="43">
        <v>0.2</v>
      </c>
      <c r="BR155" s="43">
        <v>0.02</v>
      </c>
      <c r="BS155" s="43">
        <v>2.2000000000000002</v>
      </c>
      <c r="BT155" s="44">
        <v>0.02</v>
      </c>
      <c r="BU155" s="43">
        <v>-7.0000000000000007E-2</v>
      </c>
      <c r="BV155" s="5"/>
      <c r="BW155" s="43">
        <v>0.05</v>
      </c>
      <c r="BX155" s="43">
        <v>0.32</v>
      </c>
      <c r="BY155" s="43">
        <v>0.4</v>
      </c>
      <c r="BZ155" s="44">
        <v>0</v>
      </c>
      <c r="CA155" s="43">
        <v>0.03</v>
      </c>
      <c r="CB155" s="5"/>
      <c r="CC155" s="45">
        <f t="shared" si="175"/>
        <v>-1.5000000000000003E-2</v>
      </c>
      <c r="CD155" s="45">
        <f t="shared" si="176"/>
        <v>7.4999999999999997E-3</v>
      </c>
      <c r="CE155" s="45">
        <f t="shared" si="177"/>
        <v>-6.0000000000000012E-2</v>
      </c>
      <c r="CF155" s="46">
        <f t="shared" si="178"/>
        <v>-2E-3</v>
      </c>
      <c r="CG155" s="45">
        <f t="shared" si="179"/>
        <v>0.01</v>
      </c>
      <c r="CH155" s="5"/>
      <c r="CI155" s="44">
        <f t="shared" si="180"/>
        <v>10</v>
      </c>
      <c r="CJ155" s="44">
        <f t="shared" si="181"/>
        <v>40</v>
      </c>
      <c r="CK155" s="44">
        <f t="shared" si="182"/>
        <v>30</v>
      </c>
      <c r="CL155" s="44">
        <f t="shared" si="183"/>
        <v>10</v>
      </c>
      <c r="CM155" s="44">
        <f t="shared" si="184"/>
        <v>5.5720065687697842</v>
      </c>
      <c r="CN155" s="47">
        <f t="shared" si="185"/>
        <v>0</v>
      </c>
      <c r="CO155" s="5"/>
      <c r="CP155" s="47">
        <f t="shared" si="186"/>
        <v>1.4977200244192652E-2</v>
      </c>
      <c r="CQ155" s="47">
        <f t="shared" si="187"/>
        <v>0.3155875493490059</v>
      </c>
      <c r="CR155" s="47">
        <f t="shared" si="188"/>
        <v>1.0932202061419607</v>
      </c>
      <c r="CS155" s="47">
        <f t="shared" si="189"/>
        <v>0.70000000000000018</v>
      </c>
      <c r="CT155" s="47">
        <f t="shared" si="190"/>
        <v>1.7279934312302164E-2</v>
      </c>
      <c r="CU155" s="47">
        <f t="shared" si="191"/>
        <v>2.1410648900474611</v>
      </c>
    </row>
    <row r="156" spans="1:99" ht="15" customHeight="1">
      <c r="A156" s="5"/>
      <c r="B156" s="37" t="s">
        <v>158</v>
      </c>
      <c r="C156" s="37" t="s">
        <v>252</v>
      </c>
      <c r="D156" s="37" t="s">
        <v>255</v>
      </c>
      <c r="E156" s="26">
        <v>42551</v>
      </c>
      <c r="F156" s="38">
        <f t="shared" si="170"/>
        <v>88.802459305818701</v>
      </c>
      <c r="G156" s="4">
        <v>8965794</v>
      </c>
      <c r="H156" s="4">
        <v>1057128</v>
      </c>
      <c r="I156" s="4">
        <v>24685310</v>
      </c>
      <c r="J156" s="4">
        <v>23087028</v>
      </c>
      <c r="K156" s="4">
        <v>6682760</v>
      </c>
      <c r="L156" s="4">
        <v>15541085</v>
      </c>
      <c r="M156" s="4">
        <v>815992</v>
      </c>
      <c r="N156" s="4">
        <v>996067</v>
      </c>
      <c r="O156" s="4">
        <v>235253</v>
      </c>
      <c r="P156" s="4">
        <f t="shared" si="167"/>
        <v>17588397</v>
      </c>
      <c r="Q156" s="4">
        <v>15667059</v>
      </c>
      <c r="R156" s="4">
        <v>1921338</v>
      </c>
      <c r="S156" s="27">
        <v>16681554</v>
      </c>
      <c r="T156" s="27">
        <v>14220756</v>
      </c>
      <c r="U156" s="27">
        <v>17747504</v>
      </c>
      <c r="V156" s="27">
        <v>17145026</v>
      </c>
      <c r="W156" s="27">
        <v>714167</v>
      </c>
      <c r="X156" s="27">
        <v>3000</v>
      </c>
      <c r="Y156" s="27">
        <v>509272</v>
      </c>
      <c r="Z156" s="27">
        <v>0</v>
      </c>
      <c r="AA156" s="27">
        <f>679419-X156-Y156-Z156</f>
        <v>167147</v>
      </c>
      <c r="AB156" s="27">
        <f>SUM(X156:AA156)</f>
        <v>679419</v>
      </c>
      <c r="AC156" s="27"/>
      <c r="AD156" s="27"/>
      <c r="AE156" s="27"/>
      <c r="AF156" s="27"/>
      <c r="AG156" s="27"/>
      <c r="AH156" s="27"/>
      <c r="AI156" s="27"/>
      <c r="AJ156" s="26"/>
      <c r="AK156" s="39"/>
      <c r="AL156" s="39"/>
      <c r="AM156" s="39"/>
      <c r="AN156" s="40"/>
      <c r="AO156" s="49"/>
      <c r="AP156" s="40"/>
      <c r="AQ156" s="27">
        <v>128579</v>
      </c>
      <c r="AR156" s="27">
        <v>140000</v>
      </c>
      <c r="AS156" s="27">
        <v>18516</v>
      </c>
      <c r="AT156" s="27">
        <v>0</v>
      </c>
      <c r="AU156" s="27">
        <f>13400+6569+167459+79588</f>
        <v>267016</v>
      </c>
      <c r="AV156" s="27">
        <v>1003965</v>
      </c>
      <c r="AW156" s="27">
        <v>2646341</v>
      </c>
      <c r="AX156" s="27">
        <f t="shared" si="165"/>
        <v>3935838</v>
      </c>
      <c r="AY156" s="27">
        <f>37516+66534</f>
        <v>104050</v>
      </c>
      <c r="AZ156" s="27">
        <f>596378+8690+4286+8864</f>
        <v>618218</v>
      </c>
      <c r="BA156" s="27">
        <f>90872+12667+2248446+337593+213509+100000+13400+6569+167459+79588</f>
        <v>3270103</v>
      </c>
      <c r="BB156" s="27">
        <f>96381+1003965</f>
        <v>1100346</v>
      </c>
      <c r="BC156" s="27">
        <v>2646341</v>
      </c>
      <c r="BD156" s="27">
        <f t="shared" si="166"/>
        <v>7739058</v>
      </c>
      <c r="BE156" s="29">
        <f t="shared" si="172"/>
        <v>7.3104444936056426E-3</v>
      </c>
      <c r="BF156" s="29">
        <f t="shared" si="173"/>
        <v>0.27676714233758037</v>
      </c>
      <c r="BG156" s="29">
        <f t="shared" si="174"/>
        <v>9.6738207580827299E-3</v>
      </c>
      <c r="BH156" s="42">
        <f>VLOOKUP(B156,Unemployment!$A$2:$F$193,6,0)</f>
        <v>-0.69999999999999973</v>
      </c>
      <c r="BI156" s="29">
        <f>VLOOKUP(B156,Zillow!$C$11:$R$193,16,0)</f>
        <v>-2.4331596725253465E-2</v>
      </c>
      <c r="BJ156" s="5"/>
      <c r="BK156" s="6">
        <v>10</v>
      </c>
      <c r="BL156" s="6">
        <v>40</v>
      </c>
      <c r="BM156" s="6">
        <v>30</v>
      </c>
      <c r="BN156" s="6">
        <v>10</v>
      </c>
      <c r="BO156" s="6">
        <v>10</v>
      </c>
      <c r="BP156" s="5"/>
      <c r="BQ156" s="43">
        <v>0.2</v>
      </c>
      <c r="BR156" s="43">
        <v>0.02</v>
      </c>
      <c r="BS156" s="43">
        <v>2.2000000000000002</v>
      </c>
      <c r="BT156" s="44">
        <v>0.02</v>
      </c>
      <c r="BU156" s="43">
        <v>-7.0000000000000007E-2</v>
      </c>
      <c r="BV156" s="5"/>
      <c r="BW156" s="43">
        <v>0.05</v>
      </c>
      <c r="BX156" s="43">
        <v>0.32</v>
      </c>
      <c r="BY156" s="43">
        <v>0.4</v>
      </c>
      <c r="BZ156" s="44">
        <v>0</v>
      </c>
      <c r="CA156" s="43">
        <v>0.03</v>
      </c>
      <c r="CB156" s="5"/>
      <c r="CC156" s="45">
        <f t="shared" si="175"/>
        <v>-1.5000000000000003E-2</v>
      </c>
      <c r="CD156" s="45">
        <f t="shared" si="176"/>
        <v>7.4999999999999997E-3</v>
      </c>
      <c r="CE156" s="45">
        <f t="shared" si="177"/>
        <v>-6.0000000000000012E-2</v>
      </c>
      <c r="CF156" s="46">
        <f t="shared" si="178"/>
        <v>-2E-3</v>
      </c>
      <c r="CG156" s="45">
        <f t="shared" si="179"/>
        <v>0.01</v>
      </c>
      <c r="CH156" s="5"/>
      <c r="CI156" s="44">
        <f t="shared" si="180"/>
        <v>10</v>
      </c>
      <c r="CJ156" s="44">
        <f t="shared" si="181"/>
        <v>34.23561897834405</v>
      </c>
      <c r="CK156" s="44">
        <f t="shared" si="182"/>
        <v>30</v>
      </c>
      <c r="CL156" s="44">
        <f t="shared" si="183"/>
        <v>10</v>
      </c>
      <c r="CM156" s="44">
        <f t="shared" si="184"/>
        <v>4.5668403274746536</v>
      </c>
      <c r="CN156" s="47">
        <f t="shared" si="185"/>
        <v>0</v>
      </c>
      <c r="CO156" s="5"/>
      <c r="CP156" s="47">
        <f t="shared" si="186"/>
        <v>1.4810444493605645E-2</v>
      </c>
      <c r="CQ156" s="47">
        <f t="shared" si="187"/>
        <v>0.1807671423375804</v>
      </c>
      <c r="CR156" s="47">
        <f t="shared" si="188"/>
        <v>0.72967382075808296</v>
      </c>
      <c r="CS156" s="47">
        <f t="shared" si="189"/>
        <v>0.69999999999999973</v>
      </c>
      <c r="CT156" s="47">
        <f t="shared" si="190"/>
        <v>2.7331596725253465E-2</v>
      </c>
      <c r="CU156" s="47">
        <f t="shared" si="191"/>
        <v>1.6525830043145222</v>
      </c>
    </row>
    <row r="157" spans="1:99" ht="15" customHeight="1">
      <c r="A157" s="5"/>
      <c r="B157" s="37" t="s">
        <v>1</v>
      </c>
      <c r="C157" s="37" t="s">
        <v>252</v>
      </c>
      <c r="D157" s="37" t="s">
        <v>258</v>
      </c>
      <c r="E157" s="26">
        <v>42551</v>
      </c>
      <c r="F157" s="38">
        <f t="shared" si="170"/>
        <v>32.24148617730809</v>
      </c>
      <c r="G157" s="4">
        <v>162500000</v>
      </c>
      <c r="H157" s="4">
        <v>40219000</v>
      </c>
      <c r="I157" s="4">
        <v>979728000</v>
      </c>
      <c r="J157" s="4">
        <v>-92014000</v>
      </c>
      <c r="K157" s="4">
        <v>-725874000</v>
      </c>
      <c r="L157" s="4">
        <v>259909000</v>
      </c>
      <c r="M157" s="4">
        <v>17560000</v>
      </c>
      <c r="N157" s="4">
        <v>41421000</v>
      </c>
      <c r="O157" s="4">
        <v>239201000</v>
      </c>
      <c r="P157" s="4">
        <v>558091000</v>
      </c>
      <c r="Q157" s="4">
        <v>584386000</v>
      </c>
      <c r="R157" s="4">
        <v>-26295000</v>
      </c>
      <c r="S157" s="27">
        <v>417071000</v>
      </c>
      <c r="T157" s="27">
        <v>367670000</v>
      </c>
      <c r="U157" s="27">
        <v>536693000</v>
      </c>
      <c r="V157" s="27">
        <v>547884000</v>
      </c>
      <c r="W157" s="27">
        <v>26000</v>
      </c>
      <c r="X157" s="27">
        <v>53427000</v>
      </c>
      <c r="Y157" s="27">
        <v>221690000</v>
      </c>
      <c r="Z157" s="27">
        <v>284710000</v>
      </c>
      <c r="AA157" s="27">
        <v>1073746000</v>
      </c>
      <c r="AB157" s="27">
        <v>1633573000</v>
      </c>
      <c r="AC157" s="27">
        <v>284710000</v>
      </c>
      <c r="AD157" s="27">
        <v>0</v>
      </c>
      <c r="AE157" s="27">
        <f>AC157+AD157</f>
        <v>284710000</v>
      </c>
      <c r="AF157" s="27">
        <v>0</v>
      </c>
      <c r="AG157" s="27">
        <v>75460000</v>
      </c>
      <c r="AH157" s="27">
        <v>71919000</v>
      </c>
      <c r="AI157" s="27">
        <v>44674000</v>
      </c>
      <c r="AJ157" s="26">
        <v>41821</v>
      </c>
      <c r="AK157" s="39">
        <v>0</v>
      </c>
      <c r="AL157" s="39">
        <v>987693000</v>
      </c>
      <c r="AM157" s="39">
        <f>AL157-AK157</f>
        <v>987693000</v>
      </c>
      <c r="AN157" s="40">
        <f t="shared" ref="AN157:AN168" si="195">AK157/AL157</f>
        <v>0</v>
      </c>
      <c r="AO157" s="40">
        <v>4.4999999999999998E-2</v>
      </c>
      <c r="AP157" s="40">
        <v>0.04</v>
      </c>
      <c r="AQ157" s="27">
        <v>17003000</v>
      </c>
      <c r="AR157" s="27">
        <v>17003000</v>
      </c>
      <c r="AS157" s="27">
        <v>0</v>
      </c>
      <c r="AT157" s="27">
        <v>0</v>
      </c>
      <c r="AU157" s="27">
        <v>0</v>
      </c>
      <c r="AV157" s="27">
        <v>3000000</v>
      </c>
      <c r="AW157" s="27">
        <v>19661000</v>
      </c>
      <c r="AX157" s="27">
        <v>22661000</v>
      </c>
      <c r="AY157" s="27">
        <v>319000</v>
      </c>
      <c r="AZ157" s="27">
        <v>5370000</v>
      </c>
      <c r="BA157" s="27">
        <v>15616000</v>
      </c>
      <c r="BB157" s="27">
        <v>3000000</v>
      </c>
      <c r="BC157" s="27">
        <v>14738000</v>
      </c>
      <c r="BD157" s="27">
        <v>39043000</v>
      </c>
      <c r="BE157" s="29">
        <f t="shared" si="172"/>
        <v>3.0466357637016186E-2</v>
      </c>
      <c r="BF157" s="29">
        <f t="shared" si="173"/>
        <v>6.1634074033780295E-2</v>
      </c>
      <c r="BG157" s="29">
        <f t="shared" si="174"/>
        <v>2.5298436993250206</v>
      </c>
      <c r="BH157" s="42">
        <f>VLOOKUP(B157,Unemployment!$A$2:$F$193,6,0)</f>
        <v>-1.3000000000000007</v>
      </c>
      <c r="BI157" s="29">
        <f>VLOOKUP(B157,Zillow!$C$11:$R$193,16,0)</f>
        <v>-3.0972369386261358E-3</v>
      </c>
      <c r="BJ157" s="5"/>
      <c r="BK157" s="6">
        <v>10</v>
      </c>
      <c r="BL157" s="6">
        <v>40</v>
      </c>
      <c r="BM157" s="6">
        <v>30</v>
      </c>
      <c r="BN157" s="6">
        <v>10</v>
      </c>
      <c r="BO157" s="6">
        <v>10</v>
      </c>
      <c r="BP157" s="5"/>
      <c r="BQ157" s="43">
        <v>0.2</v>
      </c>
      <c r="BR157" s="43">
        <v>0.02</v>
      </c>
      <c r="BS157" s="43">
        <v>2.2000000000000002</v>
      </c>
      <c r="BT157" s="44">
        <v>0.02</v>
      </c>
      <c r="BU157" s="43">
        <v>-7.0000000000000007E-2</v>
      </c>
      <c r="BV157" s="5"/>
      <c r="BW157" s="43">
        <v>0.05</v>
      </c>
      <c r="BX157" s="43">
        <v>0.32</v>
      </c>
      <c r="BY157" s="43">
        <v>0.4</v>
      </c>
      <c r="BZ157" s="44">
        <v>0</v>
      </c>
      <c r="CA157" s="43">
        <v>0.03</v>
      </c>
      <c r="CB157" s="5"/>
      <c r="CC157" s="45">
        <f t="shared" si="175"/>
        <v>-1.5000000000000003E-2</v>
      </c>
      <c r="CD157" s="45">
        <f t="shared" si="176"/>
        <v>7.4999999999999997E-3</v>
      </c>
      <c r="CE157" s="45">
        <f t="shared" si="177"/>
        <v>-6.0000000000000012E-2</v>
      </c>
      <c r="CF157" s="46">
        <f t="shared" si="178"/>
        <v>-2E-3</v>
      </c>
      <c r="CG157" s="45">
        <f t="shared" si="179"/>
        <v>0.01</v>
      </c>
      <c r="CH157" s="5"/>
      <c r="CI157" s="44">
        <f t="shared" si="180"/>
        <v>10</v>
      </c>
      <c r="CJ157" s="44">
        <f t="shared" si="181"/>
        <v>5.5512098711707054</v>
      </c>
      <c r="CK157" s="44">
        <f t="shared" si="182"/>
        <v>0</v>
      </c>
      <c r="CL157" s="44">
        <f t="shared" si="183"/>
        <v>10</v>
      </c>
      <c r="CM157" s="44">
        <f t="shared" si="184"/>
        <v>6.6902763061373864</v>
      </c>
      <c r="CN157" s="47">
        <f t="shared" si="185"/>
        <v>0</v>
      </c>
      <c r="CO157" s="5"/>
      <c r="CP157" s="47">
        <f t="shared" si="186"/>
        <v>3.7966357637016189E-2</v>
      </c>
      <c r="CQ157" s="47">
        <f t="shared" si="187"/>
        <v>3.4365925966219693E-2</v>
      </c>
      <c r="CR157" s="47">
        <f t="shared" si="188"/>
        <v>3.2498436993250208</v>
      </c>
      <c r="CS157" s="47">
        <f t="shared" si="189"/>
        <v>1.3000000000000007</v>
      </c>
      <c r="CT157" s="47">
        <f t="shared" si="190"/>
        <v>6.0972369386261358E-3</v>
      </c>
      <c r="CU157" s="47">
        <f t="shared" si="191"/>
        <v>4.6282732198668839</v>
      </c>
    </row>
    <row r="158" spans="1:99" ht="15" customHeight="1">
      <c r="A158" s="5"/>
      <c r="B158" s="37" t="s">
        <v>19</v>
      </c>
      <c r="C158" s="37" t="s">
        <v>252</v>
      </c>
      <c r="D158" s="37" t="s">
        <v>255</v>
      </c>
      <c r="E158" s="26">
        <v>42551</v>
      </c>
      <c r="F158" s="38">
        <f t="shared" si="170"/>
        <v>60.767107396801372</v>
      </c>
      <c r="G158" s="4">
        <f>21803309+8812298+4906777+5830+462192</f>
        <v>35990406</v>
      </c>
      <c r="H158" s="4">
        <f>134482871-120817937-5112186</f>
        <v>8552748</v>
      </c>
      <c r="I158" s="4">
        <v>351824389</v>
      </c>
      <c r="J158" s="4">
        <v>221076376</v>
      </c>
      <c r="K158" s="4">
        <v>-7613871</v>
      </c>
      <c r="L158" s="4">
        <v>82930243</v>
      </c>
      <c r="M158" s="4">
        <v>2311015</v>
      </c>
      <c r="N158" s="4">
        <v>7017204</v>
      </c>
      <c r="O158" s="4">
        <v>9056322</v>
      </c>
      <c r="P158" s="4">
        <f>L158+M158+N158+O158</f>
        <v>101314784</v>
      </c>
      <c r="Q158" s="4">
        <v>107242593</v>
      </c>
      <c r="R158" s="4">
        <v>-5927809</v>
      </c>
      <c r="S158" s="27">
        <v>92445293</v>
      </c>
      <c r="T158" s="27">
        <v>88837109</v>
      </c>
      <c r="U158" s="27">
        <v>96684409</v>
      </c>
      <c r="V158" s="27">
        <v>99422468</v>
      </c>
      <c r="W158" s="27">
        <v>1348852</v>
      </c>
      <c r="X158" s="27">
        <f>5101327+10859</f>
        <v>5112186</v>
      </c>
      <c r="Y158" s="27">
        <f>551040+11738474</f>
        <v>12289514</v>
      </c>
      <c r="Z158" s="27">
        <v>15274000</v>
      </c>
      <c r="AA158" s="27">
        <f>125581192+348931-SUM(X158:Z158)</f>
        <v>93254423</v>
      </c>
      <c r="AB158" s="27">
        <f>SUM(X158:AA158)</f>
        <v>125930123</v>
      </c>
      <c r="AC158" s="27">
        <v>15274000</v>
      </c>
      <c r="AD158" s="27">
        <v>0</v>
      </c>
      <c r="AE158" s="27">
        <f>AC158+AD158</f>
        <v>15274000</v>
      </c>
      <c r="AF158" s="27">
        <v>0</v>
      </c>
      <c r="AG158" s="27">
        <v>2755300</v>
      </c>
      <c r="AH158" s="27">
        <v>2497200</v>
      </c>
      <c r="AI158" s="27">
        <v>798000</v>
      </c>
      <c r="AJ158" s="26">
        <v>41821</v>
      </c>
      <c r="AK158" s="39">
        <v>0</v>
      </c>
      <c r="AL158" s="39">
        <v>27244800</v>
      </c>
      <c r="AM158" s="39">
        <f>AL158-AK158</f>
        <v>27244800</v>
      </c>
      <c r="AN158" s="40">
        <f t="shared" si="195"/>
        <v>0</v>
      </c>
      <c r="AO158" s="40">
        <v>0.05</v>
      </c>
      <c r="AP158" s="40"/>
      <c r="AQ158" s="27">
        <f t="shared" ref="AQ158:AR158" si="196">83367</f>
        <v>83367</v>
      </c>
      <c r="AR158" s="27">
        <f t="shared" si="196"/>
        <v>83367</v>
      </c>
      <c r="AS158" s="27">
        <v>461357</v>
      </c>
      <c r="AT158" s="27">
        <v>0</v>
      </c>
      <c r="AU158" s="27">
        <v>0</v>
      </c>
      <c r="AV158" s="27">
        <v>513400</v>
      </c>
      <c r="AW158" s="27">
        <v>10948107</v>
      </c>
      <c r="AX158" s="27">
        <f>AS158+AT158+AU158+AV158+AW158</f>
        <v>11922864</v>
      </c>
      <c r="AY158" s="27">
        <v>591062</v>
      </c>
      <c r="AZ158" s="27">
        <v>887019</v>
      </c>
      <c r="BA158" s="27">
        <v>10249858</v>
      </c>
      <c r="BB158" s="27">
        <v>877332</v>
      </c>
      <c r="BC158" s="27">
        <v>5023821</v>
      </c>
      <c r="BD158" s="27">
        <f>AY158+AZ158+BA158+BB158+BC158</f>
        <v>17629092</v>
      </c>
      <c r="BE158" s="29">
        <f t="shared" si="172"/>
        <v>8.2285128298748586E-4</v>
      </c>
      <c r="BF158" s="29">
        <f t="shared" si="173"/>
        <v>0.13421040074593152</v>
      </c>
      <c r="BG158" s="29">
        <f t="shared" si="174"/>
        <v>1.1216587008664007</v>
      </c>
      <c r="BH158" s="42">
        <f>VLOOKUP(B158,Unemployment!$A$2:$F$193,6,0)</f>
        <v>-0.5</v>
      </c>
      <c r="BI158" s="29">
        <f>VLOOKUP(B158,Zillow!$C$11:$R$193,16,0)</f>
        <v>5.6669897845050832E-3</v>
      </c>
      <c r="BJ158" s="5"/>
      <c r="BK158" s="6">
        <v>10</v>
      </c>
      <c r="BL158" s="6">
        <v>40</v>
      </c>
      <c r="BM158" s="6">
        <v>30</v>
      </c>
      <c r="BN158" s="6">
        <v>10</v>
      </c>
      <c r="BO158" s="6">
        <v>10</v>
      </c>
      <c r="BP158" s="5"/>
      <c r="BQ158" s="43">
        <v>0.2</v>
      </c>
      <c r="BR158" s="43">
        <v>0.02</v>
      </c>
      <c r="BS158" s="43">
        <v>2.2000000000000002</v>
      </c>
      <c r="BT158" s="44">
        <v>0.02</v>
      </c>
      <c r="BU158" s="43">
        <v>-7.0000000000000007E-2</v>
      </c>
      <c r="BV158" s="5"/>
      <c r="BW158" s="43">
        <v>0.05</v>
      </c>
      <c r="BX158" s="43">
        <v>0.32</v>
      </c>
      <c r="BY158" s="43">
        <v>0.4</v>
      </c>
      <c r="BZ158" s="44">
        <v>0</v>
      </c>
      <c r="CA158" s="43">
        <v>0.03</v>
      </c>
      <c r="CB158" s="5"/>
      <c r="CC158" s="45">
        <f t="shared" si="175"/>
        <v>-1.5000000000000003E-2</v>
      </c>
      <c r="CD158" s="45">
        <f t="shared" si="176"/>
        <v>7.4999999999999997E-3</v>
      </c>
      <c r="CE158" s="45">
        <f t="shared" si="177"/>
        <v>-6.0000000000000012E-2</v>
      </c>
      <c r="CF158" s="46">
        <f t="shared" si="178"/>
        <v>-2E-3</v>
      </c>
      <c r="CG158" s="45">
        <f t="shared" si="179"/>
        <v>0.01</v>
      </c>
      <c r="CH158" s="5"/>
      <c r="CI158" s="44">
        <f t="shared" si="180"/>
        <v>10</v>
      </c>
      <c r="CJ158" s="44">
        <f t="shared" si="181"/>
        <v>15.228053432790869</v>
      </c>
      <c r="CK158" s="44">
        <f t="shared" si="182"/>
        <v>17.972354985559988</v>
      </c>
      <c r="CL158" s="44">
        <f t="shared" si="183"/>
        <v>10</v>
      </c>
      <c r="CM158" s="44">
        <f t="shared" si="184"/>
        <v>7.5666989784505088</v>
      </c>
      <c r="CN158" s="47">
        <f t="shared" si="185"/>
        <v>0</v>
      </c>
      <c r="CO158" s="5"/>
      <c r="CP158" s="47">
        <f t="shared" si="186"/>
        <v>8.3228512829874885E-3</v>
      </c>
      <c r="CQ158" s="47">
        <f t="shared" si="187"/>
        <v>3.821040074593153E-2</v>
      </c>
      <c r="CR158" s="47">
        <f t="shared" si="188"/>
        <v>1.8416587008664009</v>
      </c>
      <c r="CS158" s="47">
        <f t="shared" si="189"/>
        <v>0.5</v>
      </c>
      <c r="CT158" s="47">
        <f t="shared" si="190"/>
        <v>2.6669897845050835E-3</v>
      </c>
      <c r="CU158" s="47">
        <f t="shared" si="191"/>
        <v>2.390858942679825</v>
      </c>
    </row>
    <row r="159" spans="1:99" ht="15" customHeight="1">
      <c r="A159" s="5"/>
      <c r="B159" s="37" t="s">
        <v>25</v>
      </c>
      <c r="C159" s="37" t="s">
        <v>252</v>
      </c>
      <c r="D159" s="37" t="s">
        <v>255</v>
      </c>
      <c r="E159" s="26">
        <v>42551</v>
      </c>
      <c r="F159" s="38">
        <f t="shared" si="170"/>
        <v>62.065831358688122</v>
      </c>
      <c r="G159" s="4">
        <f>231916116-200547681-3800682</f>
        <v>27567753</v>
      </c>
      <c r="H159" s="4">
        <f>101717466-80260006-7365050</f>
        <v>14092410</v>
      </c>
      <c r="I159" s="4">
        <v>231916116</v>
      </c>
      <c r="J159" s="4">
        <v>134232781</v>
      </c>
      <c r="K159" s="4">
        <v>-12309800</v>
      </c>
      <c r="L159" s="4">
        <v>54539289</v>
      </c>
      <c r="M159" s="4">
        <v>781167</v>
      </c>
      <c r="N159" s="4">
        <v>7654372</v>
      </c>
      <c r="O159" s="4">
        <v>19419205</v>
      </c>
      <c r="P159" s="4">
        <f>L159+M159+N159+O159</f>
        <v>82394033</v>
      </c>
      <c r="Q159" s="4">
        <v>85279053</v>
      </c>
      <c r="R159" s="4">
        <v>-2885020</v>
      </c>
      <c r="S159" s="27">
        <v>74942672</v>
      </c>
      <c r="T159" s="27">
        <v>74218893</v>
      </c>
      <c r="U159" s="27">
        <v>78828370</v>
      </c>
      <c r="V159" s="27">
        <v>81163925</v>
      </c>
      <c r="W159" s="27">
        <v>624319</v>
      </c>
      <c r="X159" s="27">
        <f>6875015+490035</f>
        <v>7365050</v>
      </c>
      <c r="Y159" s="27">
        <f>10428002+581945</f>
        <v>11009947</v>
      </c>
      <c r="Z159" s="27">
        <v>16946169</v>
      </c>
      <c r="AA159" s="27">
        <f>85199526+2425530-SUM(X159:Z159)</f>
        <v>52303890</v>
      </c>
      <c r="AB159" s="27">
        <f>SUM(X159:AA159)</f>
        <v>87625056</v>
      </c>
      <c r="AC159" s="27">
        <v>16945169</v>
      </c>
      <c r="AD159" s="27">
        <v>0</v>
      </c>
      <c r="AE159" s="27">
        <f>AC159+AD159</f>
        <v>16945169</v>
      </c>
      <c r="AF159" s="27">
        <v>0</v>
      </c>
      <c r="AG159" s="27">
        <v>3028780</v>
      </c>
      <c r="AH159" s="27">
        <v>3657120</v>
      </c>
      <c r="AI159" s="27">
        <v>1254259</v>
      </c>
      <c r="AJ159" s="26">
        <v>42186</v>
      </c>
      <c r="AK159" s="39">
        <v>1406</v>
      </c>
      <c r="AL159" s="39">
        <v>42336606</v>
      </c>
      <c r="AM159" s="39">
        <f>AL159-AK159</f>
        <v>42335200</v>
      </c>
      <c r="AN159" s="40">
        <f t="shared" si="195"/>
        <v>3.3210031054449663E-5</v>
      </c>
      <c r="AO159" s="41">
        <v>0.04</v>
      </c>
      <c r="AP159" s="50" t="s">
        <v>313</v>
      </c>
      <c r="AQ159" s="27">
        <f t="shared" ref="AQ159:AR159" si="197">411648+875571</f>
        <v>1287219</v>
      </c>
      <c r="AR159" s="27">
        <f t="shared" si="197"/>
        <v>1287219</v>
      </c>
      <c r="AS159" s="27">
        <v>0</v>
      </c>
      <c r="AT159" s="27">
        <v>0</v>
      </c>
      <c r="AU159" s="27">
        <v>0</v>
      </c>
      <c r="AV159" s="27">
        <v>467589</v>
      </c>
      <c r="AW159" s="27">
        <v>8016125</v>
      </c>
      <c r="AX159" s="27">
        <f>AS159+AT159+AU159+AV159+AW159</f>
        <v>8483714</v>
      </c>
      <c r="AY159" s="27">
        <v>120282</v>
      </c>
      <c r="AZ159" s="27">
        <v>1759761</v>
      </c>
      <c r="BA159" s="27">
        <v>492516</v>
      </c>
      <c r="BB159" s="27">
        <v>580043</v>
      </c>
      <c r="BC159" s="27">
        <v>3130866</v>
      </c>
      <c r="BD159" s="27">
        <f>AY159+AZ159+BA159+BB159+BC159</f>
        <v>6083468</v>
      </c>
      <c r="BE159" s="29">
        <f t="shared" si="172"/>
        <v>1.5622721125933962E-2</v>
      </c>
      <c r="BF159" s="29">
        <f t="shared" si="173"/>
        <v>0.11430666312956191</v>
      </c>
      <c r="BG159" s="29">
        <f t="shared" si="174"/>
        <v>0.9298623481630035</v>
      </c>
      <c r="BH159" s="42">
        <f>VLOOKUP(B159,Unemployment!$A$2:$F$193,6,0)</f>
        <v>-0.5</v>
      </c>
      <c r="BI159" s="29">
        <f>VLOOKUP(B159,Zillow!$C$11:$R$193,16,0)</f>
        <v>1.3226487441299284E-2</v>
      </c>
      <c r="BJ159" s="5"/>
      <c r="BK159" s="6">
        <v>10</v>
      </c>
      <c r="BL159" s="6">
        <v>40</v>
      </c>
      <c r="BM159" s="6">
        <v>30</v>
      </c>
      <c r="BN159" s="6">
        <v>10</v>
      </c>
      <c r="BO159" s="6">
        <v>10</v>
      </c>
      <c r="BP159" s="5"/>
      <c r="BQ159" s="43">
        <v>0.2</v>
      </c>
      <c r="BR159" s="43">
        <v>0.02</v>
      </c>
      <c r="BS159" s="43">
        <v>2.2000000000000002</v>
      </c>
      <c r="BT159" s="44">
        <v>0.02</v>
      </c>
      <c r="BU159" s="43">
        <v>-7.0000000000000007E-2</v>
      </c>
      <c r="BV159" s="5"/>
      <c r="BW159" s="43">
        <v>0.05</v>
      </c>
      <c r="BX159" s="43">
        <v>0.32</v>
      </c>
      <c r="BY159" s="43">
        <v>0.4</v>
      </c>
      <c r="BZ159" s="44">
        <v>0</v>
      </c>
      <c r="CA159" s="43">
        <v>0.03</v>
      </c>
      <c r="CB159" s="5"/>
      <c r="CC159" s="45">
        <f t="shared" si="175"/>
        <v>-1.5000000000000003E-2</v>
      </c>
      <c r="CD159" s="45">
        <f t="shared" si="176"/>
        <v>7.4999999999999997E-3</v>
      </c>
      <c r="CE159" s="45">
        <f t="shared" si="177"/>
        <v>-6.0000000000000012E-2</v>
      </c>
      <c r="CF159" s="46">
        <f t="shared" si="178"/>
        <v>-2E-3</v>
      </c>
      <c r="CG159" s="45">
        <f t="shared" si="179"/>
        <v>0.01</v>
      </c>
      <c r="CH159" s="5"/>
      <c r="CI159" s="44">
        <f t="shared" si="180"/>
        <v>10</v>
      </c>
      <c r="CJ159" s="44">
        <f t="shared" si="181"/>
        <v>12.574221750608254</v>
      </c>
      <c r="CK159" s="44">
        <f t="shared" si="182"/>
        <v>21.168960863949941</v>
      </c>
      <c r="CL159" s="44">
        <f t="shared" si="183"/>
        <v>10</v>
      </c>
      <c r="CM159" s="44">
        <f t="shared" si="184"/>
        <v>8.3226487441299284</v>
      </c>
      <c r="CN159" s="47">
        <f t="shared" si="185"/>
        <v>0</v>
      </c>
      <c r="CO159" s="5"/>
      <c r="CP159" s="47">
        <f t="shared" si="186"/>
        <v>2.3122721125933964E-2</v>
      </c>
      <c r="CQ159" s="47">
        <f t="shared" si="187"/>
        <v>1.8306663129561918E-2</v>
      </c>
      <c r="CR159" s="47">
        <f t="shared" si="188"/>
        <v>1.6498623481630037</v>
      </c>
      <c r="CS159" s="47">
        <f t="shared" si="189"/>
        <v>0.5</v>
      </c>
      <c r="CT159" s="47">
        <f t="shared" si="190"/>
        <v>1.0226487441299285E-2</v>
      </c>
      <c r="CU159" s="47">
        <f t="shared" si="191"/>
        <v>2.2015182198597989</v>
      </c>
    </row>
    <row r="160" spans="1:99" ht="15" customHeight="1">
      <c r="A160" s="5"/>
      <c r="B160" s="37" t="s">
        <v>30</v>
      </c>
      <c r="C160" s="37" t="s">
        <v>252</v>
      </c>
      <c r="D160" s="37" t="s">
        <v>255</v>
      </c>
      <c r="E160" s="26">
        <v>42551</v>
      </c>
      <c r="F160" s="38">
        <f t="shared" si="170"/>
        <v>63.095593322107995</v>
      </c>
      <c r="G160" s="4">
        <v>107693000</v>
      </c>
      <c r="H160" s="4">
        <v>19750000</v>
      </c>
      <c r="I160" s="4">
        <v>462949000</v>
      </c>
      <c r="J160" s="4">
        <v>37211000</v>
      </c>
      <c r="K160" s="4">
        <v>-157452000</v>
      </c>
      <c r="L160" s="4">
        <v>240597000</v>
      </c>
      <c r="M160" s="4">
        <v>22452000</v>
      </c>
      <c r="N160" s="4">
        <v>20804000</v>
      </c>
      <c r="O160" s="4">
        <v>49472000</v>
      </c>
      <c r="P160" s="4">
        <v>333325000</v>
      </c>
      <c r="Q160" s="4">
        <v>327255000</v>
      </c>
      <c r="R160" s="4">
        <v>6070000</v>
      </c>
      <c r="S160" s="27">
        <v>280946000</v>
      </c>
      <c r="T160" s="27">
        <v>260841000</v>
      </c>
      <c r="U160" s="27">
        <v>324524000</v>
      </c>
      <c r="V160" s="27">
        <v>350404000</v>
      </c>
      <c r="W160" s="27">
        <v>737000</v>
      </c>
      <c r="X160" s="27">
        <v>29222000</v>
      </c>
      <c r="Y160" s="27">
        <v>239304000</v>
      </c>
      <c r="Z160" s="27">
        <v>8281000</v>
      </c>
      <c r="AA160" s="27">
        <v>156784000</v>
      </c>
      <c r="AB160" s="27">
        <v>433591000</v>
      </c>
      <c r="AC160" s="27">
        <v>8281000</v>
      </c>
      <c r="AD160" s="27">
        <v>0</v>
      </c>
      <c r="AE160" s="27">
        <v>8281000</v>
      </c>
      <c r="AF160" s="27">
        <v>0</v>
      </c>
      <c r="AG160" s="27">
        <v>11251000</v>
      </c>
      <c r="AH160" s="27">
        <v>11358000</v>
      </c>
      <c r="AI160" s="27">
        <v>10813000</v>
      </c>
      <c r="AJ160" s="26">
        <v>42186</v>
      </c>
      <c r="AK160" s="39">
        <v>702000</v>
      </c>
      <c r="AL160" s="39">
        <v>147594000</v>
      </c>
      <c r="AM160" s="39">
        <v>146892000</v>
      </c>
      <c r="AN160" s="40">
        <f t="shared" si="195"/>
        <v>4.7562909061343956E-3</v>
      </c>
      <c r="AO160" s="40">
        <v>7.4999999999999997E-2</v>
      </c>
      <c r="AP160" s="40">
        <v>2.5000000000000001E-2</v>
      </c>
      <c r="AQ160" s="27">
        <v>5942000</v>
      </c>
      <c r="AR160" s="27">
        <v>5942000</v>
      </c>
      <c r="AS160" s="27">
        <v>257000</v>
      </c>
      <c r="AT160" s="27">
        <v>0</v>
      </c>
      <c r="AU160" s="27">
        <v>0</v>
      </c>
      <c r="AV160" s="27">
        <v>441000</v>
      </c>
      <c r="AW160" s="27">
        <v>21094000</v>
      </c>
      <c r="AX160" s="27">
        <v>21792000</v>
      </c>
      <c r="AY160" s="27">
        <v>385000</v>
      </c>
      <c r="AZ160" s="27">
        <v>2282000</v>
      </c>
      <c r="BA160" s="27">
        <v>16681000</v>
      </c>
      <c r="BB160" s="27">
        <v>445000</v>
      </c>
      <c r="BC160" s="27">
        <v>21094000</v>
      </c>
      <c r="BD160" s="27">
        <v>40887000</v>
      </c>
      <c r="BE160" s="29">
        <f t="shared" si="172"/>
        <v>1.782644566114153E-2</v>
      </c>
      <c r="BF160" s="29">
        <f t="shared" si="173"/>
        <v>8.3545148193727214E-2</v>
      </c>
      <c r="BG160" s="29">
        <f t="shared" si="174"/>
        <v>0.58287557188929728</v>
      </c>
      <c r="BH160" s="42">
        <f>VLOOKUP(B160,Unemployment!$A$2:$F$193,6,0)</f>
        <v>-0.39999999999999947</v>
      </c>
      <c r="BI160" s="29">
        <f>VLOOKUP(B160,Zillow!$C$11:$R$193,16,0)</f>
        <v>6.7083309443265876E-3</v>
      </c>
      <c r="BJ160" s="5"/>
      <c r="BK160" s="6">
        <v>10</v>
      </c>
      <c r="BL160" s="6">
        <v>40</v>
      </c>
      <c r="BM160" s="6">
        <v>30</v>
      </c>
      <c r="BN160" s="6">
        <v>10</v>
      </c>
      <c r="BO160" s="6">
        <v>10</v>
      </c>
      <c r="BP160" s="5"/>
      <c r="BQ160" s="43">
        <v>0.2</v>
      </c>
      <c r="BR160" s="43">
        <v>0.02</v>
      </c>
      <c r="BS160" s="43">
        <v>2.2000000000000002</v>
      </c>
      <c r="BT160" s="44">
        <v>0.02</v>
      </c>
      <c r="BU160" s="43">
        <v>-7.0000000000000007E-2</v>
      </c>
      <c r="BV160" s="5"/>
      <c r="BW160" s="43">
        <v>0.05</v>
      </c>
      <c r="BX160" s="43">
        <v>0.32</v>
      </c>
      <c r="BY160" s="43">
        <v>0.4</v>
      </c>
      <c r="BZ160" s="44">
        <v>0</v>
      </c>
      <c r="CA160" s="43">
        <v>0.03</v>
      </c>
      <c r="CB160" s="5"/>
      <c r="CC160" s="45">
        <f t="shared" si="175"/>
        <v>-1.5000000000000003E-2</v>
      </c>
      <c r="CD160" s="45">
        <f t="shared" si="176"/>
        <v>7.4999999999999997E-3</v>
      </c>
      <c r="CE160" s="45">
        <f t="shared" si="177"/>
        <v>-6.0000000000000012E-2</v>
      </c>
      <c r="CF160" s="46">
        <f t="shared" si="178"/>
        <v>-2E-3</v>
      </c>
      <c r="CG160" s="45">
        <f t="shared" si="179"/>
        <v>0.01</v>
      </c>
      <c r="CH160" s="5"/>
      <c r="CI160" s="44">
        <f t="shared" si="180"/>
        <v>10</v>
      </c>
      <c r="CJ160" s="44">
        <f t="shared" si="181"/>
        <v>8.472686425830295</v>
      </c>
      <c r="CK160" s="44">
        <f t="shared" si="182"/>
        <v>26.952073801845042</v>
      </c>
      <c r="CL160" s="44">
        <f t="shared" si="183"/>
        <v>10</v>
      </c>
      <c r="CM160" s="44">
        <f t="shared" si="184"/>
        <v>7.670833094432659</v>
      </c>
      <c r="CN160" s="47">
        <f t="shared" si="185"/>
        <v>0</v>
      </c>
      <c r="CO160" s="5"/>
      <c r="CP160" s="47">
        <f t="shared" si="186"/>
        <v>2.5326445661141533E-2</v>
      </c>
      <c r="CQ160" s="47">
        <f t="shared" si="187"/>
        <v>1.2454851806272774E-2</v>
      </c>
      <c r="CR160" s="47">
        <f t="shared" si="188"/>
        <v>1.3028755718892975</v>
      </c>
      <c r="CS160" s="47">
        <f t="shared" si="189"/>
        <v>0.39999999999999947</v>
      </c>
      <c r="CT160" s="47">
        <f t="shared" si="190"/>
        <v>3.708330944326588E-3</v>
      </c>
      <c r="CU160" s="47">
        <f t="shared" si="191"/>
        <v>1.7443652003010379</v>
      </c>
    </row>
    <row r="161" spans="1:99" ht="15" customHeight="1">
      <c r="A161" s="5"/>
      <c r="B161" s="37" t="s">
        <v>6</v>
      </c>
      <c r="C161" s="37" t="s">
        <v>252</v>
      </c>
      <c r="D161" s="37" t="s">
        <v>258</v>
      </c>
      <c r="E161" s="26">
        <v>42551</v>
      </c>
      <c r="F161" s="38">
        <f t="shared" si="170"/>
        <v>49.682396820400889</v>
      </c>
      <c r="G161" s="4">
        <f>222860713-30590926-30590926</f>
        <v>161678861</v>
      </c>
      <c r="H161" s="4">
        <f>278290140-230093180-22305737</f>
        <v>25891223</v>
      </c>
      <c r="I161" s="4">
        <v>222860713</v>
      </c>
      <c r="J161" s="4">
        <v>-48312340</v>
      </c>
      <c r="K161" s="4">
        <v>-159928062</v>
      </c>
      <c r="L161" s="4">
        <v>103683222</v>
      </c>
      <c r="M161" s="4">
        <v>6670007</v>
      </c>
      <c r="N161" s="4">
        <v>18806853</v>
      </c>
      <c r="O161" s="4">
        <v>69612238</v>
      </c>
      <c r="P161" s="4">
        <f t="shared" ref="P161:P167" si="198">L161+M161+N161+O161</f>
        <v>198772320</v>
      </c>
      <c r="Q161" s="4">
        <v>197623921</v>
      </c>
      <c r="R161" s="4">
        <v>1148399</v>
      </c>
      <c r="S161" s="27">
        <v>168760901</v>
      </c>
      <c r="T161" s="27">
        <v>172869479</v>
      </c>
      <c r="U161" s="27">
        <v>208008065</v>
      </c>
      <c r="V161" s="27">
        <v>208243543</v>
      </c>
      <c r="W161" s="27">
        <v>-6538967</v>
      </c>
      <c r="X161" s="27">
        <f>22217309+88428</f>
        <v>22305737</v>
      </c>
      <c r="Y161" s="27">
        <f>28474661+22548458</f>
        <v>51023119</v>
      </c>
      <c r="Z161" s="27">
        <f t="shared" ref="Z161:AC161" si="199">40244416+5088830</f>
        <v>45333246</v>
      </c>
      <c r="AA161" s="27">
        <f>223908455+28490462-SUM(X161:Z161)</f>
        <v>133736815</v>
      </c>
      <c r="AB161" s="27">
        <f t="shared" ref="AB161:AB167" si="200">SUM(X161:AA161)</f>
        <v>252398917</v>
      </c>
      <c r="AC161" s="27">
        <f t="shared" si="199"/>
        <v>45333246</v>
      </c>
      <c r="AD161" s="27">
        <v>0</v>
      </c>
      <c r="AE161" s="27">
        <f t="shared" ref="AE161:AE175" si="201">AC161+AD161</f>
        <v>45333246</v>
      </c>
      <c r="AF161" s="27">
        <v>0</v>
      </c>
      <c r="AG161" s="27">
        <f>13677829+1533359</f>
        <v>15211188</v>
      </c>
      <c r="AH161" s="27">
        <f>13686883+1481773</f>
        <v>15168656</v>
      </c>
      <c r="AI161" s="27">
        <f>8392644+691753</f>
        <v>9084397</v>
      </c>
      <c r="AJ161" s="26">
        <v>41456</v>
      </c>
      <c r="AK161" s="39">
        <v>0</v>
      </c>
      <c r="AL161" s="39">
        <v>19201569</v>
      </c>
      <c r="AM161" s="39">
        <f t="shared" ref="AM161:AM172" si="202">AL161-AK161</f>
        <v>19201569</v>
      </c>
      <c r="AN161" s="40">
        <f t="shared" si="195"/>
        <v>0</v>
      </c>
      <c r="AO161" s="41">
        <v>0.04</v>
      </c>
      <c r="AP161" s="40">
        <v>0</v>
      </c>
      <c r="AQ161" s="27">
        <f>1848528+1597526</f>
        <v>3446054</v>
      </c>
      <c r="AR161" s="27">
        <f>1850000+1559866</f>
        <v>3409866</v>
      </c>
      <c r="AS161" s="27">
        <v>152351</v>
      </c>
      <c r="AT161" s="27">
        <v>0</v>
      </c>
      <c r="AU161" s="27">
        <v>0</v>
      </c>
      <c r="AV161" s="27">
        <v>0</v>
      </c>
      <c r="AW161" s="27">
        <v>-16888415</v>
      </c>
      <c r="AX161" s="27">
        <f t="shared" ref="AX161:AX175" si="203">AS161+AT161+AU161+AV161+AW161</f>
        <v>-16736064</v>
      </c>
      <c r="AY161" s="27">
        <v>302183</v>
      </c>
      <c r="AZ161" s="27">
        <v>1450430</v>
      </c>
      <c r="BA161" s="27">
        <v>0</v>
      </c>
      <c r="BB161" s="27">
        <v>0</v>
      </c>
      <c r="BC161" s="27">
        <v>-19550142</v>
      </c>
      <c r="BD161" s="27">
        <f t="shared" ref="BD161:BD171" si="204">AY161+AZ161+BA161+BB161+BC161</f>
        <v>-17797529</v>
      </c>
      <c r="BE161" s="29">
        <f t="shared" si="172"/>
        <v>1.7336689535041902E-2</v>
      </c>
      <c r="BF161" s="29">
        <f t="shared" si="173"/>
        <v>-9.6813295769810237E-2</v>
      </c>
      <c r="BG161" s="29">
        <f t="shared" si="174"/>
        <v>1.0130977894708881</v>
      </c>
      <c r="BH161" s="42">
        <f>VLOOKUP(B161,Unemployment!$A$2:$F$193,6,0)</f>
        <v>-0.90000000000000036</v>
      </c>
      <c r="BI161" s="29">
        <f>VLOOKUP(B161,Zillow!$C$11:$R$193,16,0)</f>
        <v>2.9006933115823575E-2</v>
      </c>
      <c r="BJ161" s="5"/>
      <c r="BK161" s="6">
        <v>10</v>
      </c>
      <c r="BL161" s="6">
        <v>40</v>
      </c>
      <c r="BM161" s="6">
        <v>30</v>
      </c>
      <c r="BN161" s="6">
        <v>10</v>
      </c>
      <c r="BO161" s="6">
        <v>10</v>
      </c>
      <c r="BP161" s="5"/>
      <c r="BQ161" s="43">
        <v>0.2</v>
      </c>
      <c r="BR161" s="43">
        <v>0.02</v>
      </c>
      <c r="BS161" s="43">
        <v>2.2000000000000002</v>
      </c>
      <c r="BT161" s="44">
        <v>0.02</v>
      </c>
      <c r="BU161" s="43">
        <v>-7.0000000000000007E-2</v>
      </c>
      <c r="BV161" s="5"/>
      <c r="BW161" s="43">
        <v>0.05</v>
      </c>
      <c r="BX161" s="43">
        <v>0.32</v>
      </c>
      <c r="BY161" s="43">
        <v>0.4</v>
      </c>
      <c r="BZ161" s="44">
        <v>0</v>
      </c>
      <c r="CA161" s="43">
        <v>0.03</v>
      </c>
      <c r="CB161" s="5"/>
      <c r="CC161" s="45">
        <f t="shared" si="175"/>
        <v>-1.5000000000000003E-2</v>
      </c>
      <c r="CD161" s="45">
        <f t="shared" si="176"/>
        <v>7.4999999999999997E-3</v>
      </c>
      <c r="CE161" s="45">
        <f t="shared" si="177"/>
        <v>-6.0000000000000012E-2</v>
      </c>
      <c r="CF161" s="46">
        <f t="shared" si="178"/>
        <v>-2E-3</v>
      </c>
      <c r="CG161" s="45">
        <f t="shared" si="179"/>
        <v>0.01</v>
      </c>
      <c r="CH161" s="5"/>
      <c r="CI161" s="44">
        <f t="shared" si="180"/>
        <v>10</v>
      </c>
      <c r="CJ161" s="44">
        <f t="shared" si="181"/>
        <v>0</v>
      </c>
      <c r="CK161" s="44">
        <f t="shared" si="182"/>
        <v>19.781703508818531</v>
      </c>
      <c r="CL161" s="44">
        <f t="shared" si="183"/>
        <v>10</v>
      </c>
      <c r="CM161" s="44">
        <f t="shared" si="184"/>
        <v>9.9006933115823568</v>
      </c>
      <c r="CN161" s="47">
        <f t="shared" si="185"/>
        <v>0</v>
      </c>
      <c r="CO161" s="5"/>
      <c r="CP161" s="47">
        <f t="shared" si="186"/>
        <v>2.4836689535041905E-2</v>
      </c>
      <c r="CQ161" s="47">
        <f t="shared" si="187"/>
        <v>0.19281329576981021</v>
      </c>
      <c r="CR161" s="47">
        <f t="shared" si="188"/>
        <v>1.7330977894708883</v>
      </c>
      <c r="CS161" s="47">
        <f t="shared" si="189"/>
        <v>0.90000000000000036</v>
      </c>
      <c r="CT161" s="47">
        <f t="shared" si="190"/>
        <v>2.6006933115823576E-2</v>
      </c>
      <c r="CU161" s="47">
        <f t="shared" si="191"/>
        <v>2.8767547078915641</v>
      </c>
    </row>
    <row r="162" spans="1:99" ht="15" customHeight="1">
      <c r="A162" s="5"/>
      <c r="B162" s="37" t="s">
        <v>68</v>
      </c>
      <c r="C162" s="37" t="s">
        <v>252</v>
      </c>
      <c r="D162" s="37" t="s">
        <v>255</v>
      </c>
      <c r="E162" s="26">
        <v>42551</v>
      </c>
      <c r="F162" s="38">
        <f t="shared" si="170"/>
        <v>70.450323256450318</v>
      </c>
      <c r="G162" s="4">
        <v>9914483</v>
      </c>
      <c r="H162" s="4">
        <v>4429325</v>
      </c>
      <c r="I162" s="4">
        <v>73185226</v>
      </c>
      <c r="J162" s="4">
        <v>47777617</v>
      </c>
      <c r="K162" s="4">
        <v>3808224</v>
      </c>
      <c r="L162" s="4">
        <v>26493170</v>
      </c>
      <c r="M162" s="4">
        <v>590447</v>
      </c>
      <c r="N162" s="4">
        <v>1809921</v>
      </c>
      <c r="O162" s="4">
        <v>3024712</v>
      </c>
      <c r="P162" s="4">
        <f t="shared" si="198"/>
        <v>31918250</v>
      </c>
      <c r="Q162" s="4">
        <v>30596722</v>
      </c>
      <c r="R162" s="4">
        <v>1321528</v>
      </c>
      <c r="S162" s="27">
        <v>30583650</v>
      </c>
      <c r="T162" s="27">
        <v>29641143</v>
      </c>
      <c r="U162" s="27">
        <v>32124622</v>
      </c>
      <c r="V162" s="27">
        <v>35299687</v>
      </c>
      <c r="W162" s="27">
        <v>59007</v>
      </c>
      <c r="X162" s="27">
        <v>1970195</v>
      </c>
      <c r="Y162" s="27">
        <v>2091775</v>
      </c>
      <c r="Z162" s="27">
        <v>1014657</v>
      </c>
      <c r="AA162" s="27">
        <f>23410371-SUM(X162:Z162)</f>
        <v>18333744</v>
      </c>
      <c r="AB162" s="27">
        <f t="shared" si="200"/>
        <v>23410371</v>
      </c>
      <c r="AC162" s="27">
        <f>196912+817745</f>
        <v>1014657</v>
      </c>
      <c r="AD162" s="27">
        <v>0</v>
      </c>
      <c r="AE162" s="27">
        <f t="shared" si="201"/>
        <v>1014657</v>
      </c>
      <c r="AF162" s="27">
        <v>0</v>
      </c>
      <c r="AG162" s="27">
        <f>48581+92576</f>
        <v>141157</v>
      </c>
      <c r="AH162" s="27">
        <f>46903+83866</f>
        <v>130769</v>
      </c>
      <c r="AI162" s="27">
        <f>16806+24109</f>
        <v>40915</v>
      </c>
      <c r="AJ162" s="26">
        <v>41821</v>
      </c>
      <c r="AK162" s="39">
        <v>0</v>
      </c>
      <c r="AL162" s="39">
        <f>418404+1430011</f>
        <v>1848415</v>
      </c>
      <c r="AM162" s="39">
        <f t="shared" si="202"/>
        <v>1848415</v>
      </c>
      <c r="AN162" s="40">
        <f t="shared" si="195"/>
        <v>0</v>
      </c>
      <c r="AO162" s="41">
        <v>0.04</v>
      </c>
      <c r="AP162" s="40">
        <v>3.5000000000000003E-2</v>
      </c>
      <c r="AQ162" s="27">
        <f t="shared" ref="AQ162:AR162" si="205">134759+23547+401327</f>
        <v>559633</v>
      </c>
      <c r="AR162" s="27">
        <f t="shared" si="205"/>
        <v>559633</v>
      </c>
      <c r="AS162" s="27">
        <v>16088</v>
      </c>
      <c r="AT162" s="27">
        <v>0</v>
      </c>
      <c r="AU162" s="27">
        <v>500000</v>
      </c>
      <c r="AV162" s="27">
        <v>0</v>
      </c>
      <c r="AW162" s="27">
        <v>4252045</v>
      </c>
      <c r="AX162" s="27">
        <f t="shared" si="203"/>
        <v>4768133</v>
      </c>
      <c r="AY162" s="27">
        <v>50162</v>
      </c>
      <c r="AZ162" s="27">
        <v>446621</v>
      </c>
      <c r="BA162" s="27">
        <v>1338708</v>
      </c>
      <c r="BB162" s="27">
        <v>63627</v>
      </c>
      <c r="BC162" s="27">
        <v>3364633</v>
      </c>
      <c r="BD162" s="27">
        <f t="shared" si="204"/>
        <v>5263751</v>
      </c>
      <c r="BE162" s="29">
        <f t="shared" si="172"/>
        <v>1.7533323412154488E-2</v>
      </c>
      <c r="BF162" s="29">
        <f t="shared" si="173"/>
        <v>0.16086198160442058</v>
      </c>
      <c r="BG162" s="29">
        <f t="shared" si="174"/>
        <v>0.66791243254251098</v>
      </c>
      <c r="BH162" s="42">
        <f>VLOOKUP(B162,Unemployment!$A$2:$F$193,6,0)</f>
        <v>-0.30000000000000071</v>
      </c>
      <c r="BI162" s="29">
        <f>VLOOKUP(B162,Zillow!$C$11:$R$193,16,0)</f>
        <v>-8.6606708176391305E-3</v>
      </c>
      <c r="BJ162" s="5"/>
      <c r="BK162" s="6">
        <v>10</v>
      </c>
      <c r="BL162" s="6">
        <v>40</v>
      </c>
      <c r="BM162" s="6">
        <v>30</v>
      </c>
      <c r="BN162" s="6">
        <v>10</v>
      </c>
      <c r="BO162" s="6">
        <v>10</v>
      </c>
      <c r="BP162" s="5"/>
      <c r="BQ162" s="43">
        <v>0.2</v>
      </c>
      <c r="BR162" s="43">
        <v>0.02</v>
      </c>
      <c r="BS162" s="43">
        <v>2.2000000000000002</v>
      </c>
      <c r="BT162" s="44">
        <v>0.02</v>
      </c>
      <c r="BU162" s="43">
        <v>-7.0000000000000007E-2</v>
      </c>
      <c r="BV162" s="5"/>
      <c r="BW162" s="43">
        <v>0.05</v>
      </c>
      <c r="BX162" s="43">
        <v>0.32</v>
      </c>
      <c r="BY162" s="43">
        <v>0.4</v>
      </c>
      <c r="BZ162" s="44">
        <v>0</v>
      </c>
      <c r="CA162" s="43">
        <v>0.03</v>
      </c>
      <c r="CB162" s="5"/>
      <c r="CC162" s="45">
        <f t="shared" si="175"/>
        <v>-1.5000000000000003E-2</v>
      </c>
      <c r="CD162" s="45">
        <f t="shared" si="176"/>
        <v>7.4999999999999997E-3</v>
      </c>
      <c r="CE162" s="45">
        <f t="shared" si="177"/>
        <v>-6.0000000000000012E-2</v>
      </c>
      <c r="CF162" s="46">
        <f t="shared" si="178"/>
        <v>-2E-3</v>
      </c>
      <c r="CG162" s="45">
        <f t="shared" si="179"/>
        <v>0.01</v>
      </c>
      <c r="CH162" s="5"/>
      <c r="CI162" s="44">
        <f t="shared" si="180"/>
        <v>10</v>
      </c>
      <c r="CJ162" s="44">
        <f t="shared" si="181"/>
        <v>18.78159754725608</v>
      </c>
      <c r="CK162" s="44">
        <f t="shared" si="182"/>
        <v>25.53479279095815</v>
      </c>
      <c r="CL162" s="44">
        <f t="shared" si="183"/>
        <v>10</v>
      </c>
      <c r="CM162" s="44">
        <f t="shared" si="184"/>
        <v>6.1339329182360869</v>
      </c>
      <c r="CN162" s="47">
        <f t="shared" si="185"/>
        <v>0</v>
      </c>
      <c r="CO162" s="5"/>
      <c r="CP162" s="47">
        <f t="shared" si="186"/>
        <v>2.5033323412154491E-2</v>
      </c>
      <c r="CQ162" s="47">
        <f t="shared" si="187"/>
        <v>6.4861981604420596E-2</v>
      </c>
      <c r="CR162" s="47">
        <f t="shared" si="188"/>
        <v>1.3879124325425112</v>
      </c>
      <c r="CS162" s="47">
        <f t="shared" si="189"/>
        <v>0.30000000000000071</v>
      </c>
      <c r="CT162" s="47">
        <f t="shared" si="190"/>
        <v>1.166067081763913E-2</v>
      </c>
      <c r="CU162" s="47">
        <f t="shared" si="191"/>
        <v>1.7894684083767263</v>
      </c>
    </row>
    <row r="163" spans="1:99" ht="15" customHeight="1">
      <c r="A163" s="5"/>
      <c r="B163" s="37" t="s">
        <v>99</v>
      </c>
      <c r="C163" s="37" t="s">
        <v>252</v>
      </c>
      <c r="D163" s="37" t="s">
        <v>255</v>
      </c>
      <c r="E163" s="26">
        <v>42551</v>
      </c>
      <c r="F163" s="38">
        <f t="shared" si="170"/>
        <v>75.073719837935315</v>
      </c>
      <c r="G163" s="4">
        <f>117997310-79179830-10454852</f>
        <v>28362628</v>
      </c>
      <c r="H163" s="4">
        <f>57332498-47388828-5377525</f>
        <v>4566145</v>
      </c>
      <c r="I163" s="4">
        <v>117997310</v>
      </c>
      <c r="J163" s="4">
        <v>63459408</v>
      </c>
      <c r="K163" s="4">
        <v>15509972</v>
      </c>
      <c r="L163" s="4">
        <v>68943551</v>
      </c>
      <c r="M163" s="4">
        <v>1057786</v>
      </c>
      <c r="N163" s="4">
        <v>1640749</v>
      </c>
      <c r="O163" s="4">
        <v>9141011</v>
      </c>
      <c r="P163" s="4">
        <f t="shared" si="198"/>
        <v>80783097</v>
      </c>
      <c r="Q163" s="4">
        <v>78968218</v>
      </c>
      <c r="R163" s="4">
        <v>1814879</v>
      </c>
      <c r="S163" s="27">
        <v>75755510</v>
      </c>
      <c r="T163" s="27">
        <v>74259322</v>
      </c>
      <c r="U163" s="27">
        <v>79458880</v>
      </c>
      <c r="V163" s="27">
        <v>78832424</v>
      </c>
      <c r="W163" s="27">
        <v>623349</v>
      </c>
      <c r="X163" s="27">
        <v>5377525</v>
      </c>
      <c r="Y163" s="27">
        <v>7478814</v>
      </c>
      <c r="Z163" s="27">
        <v>1006958</v>
      </c>
      <c r="AA163" s="27">
        <f>52766353-SUM(X163:Z163)</f>
        <v>38903056</v>
      </c>
      <c r="AB163" s="27">
        <f t="shared" si="200"/>
        <v>52766353</v>
      </c>
      <c r="AC163" s="27">
        <v>1006958</v>
      </c>
      <c r="AD163" s="27">
        <v>0</v>
      </c>
      <c r="AE163" s="27">
        <f t="shared" si="201"/>
        <v>1006958</v>
      </c>
      <c r="AF163" s="27">
        <v>0</v>
      </c>
      <c r="AG163" s="27">
        <v>1067000</v>
      </c>
      <c r="AH163" s="27">
        <v>1012229</v>
      </c>
      <c r="AI163" s="27">
        <v>857702</v>
      </c>
      <c r="AJ163" s="26">
        <v>42186</v>
      </c>
      <c r="AK163" s="39">
        <v>6964000</v>
      </c>
      <c r="AL163" s="39">
        <f>10916000</f>
        <v>10916000</v>
      </c>
      <c r="AM163" s="39">
        <f t="shared" si="202"/>
        <v>3952000</v>
      </c>
      <c r="AN163" s="40">
        <f t="shared" si="195"/>
        <v>0.63796262367167456</v>
      </c>
      <c r="AO163" s="40">
        <v>6.7500000000000004E-2</v>
      </c>
      <c r="AP163" s="40">
        <v>0.03</v>
      </c>
      <c r="AQ163" s="27">
        <f t="shared" ref="AQ163:AR163" si="206">1661121</f>
        <v>1661121</v>
      </c>
      <c r="AR163" s="27">
        <f t="shared" si="206"/>
        <v>1661121</v>
      </c>
      <c r="AS163" s="27">
        <v>606606</v>
      </c>
      <c r="AT163" s="27">
        <v>0</v>
      </c>
      <c r="AU163" s="27">
        <v>544403</v>
      </c>
      <c r="AV163" s="27">
        <v>148347</v>
      </c>
      <c r="AW163" s="27">
        <v>12511772</v>
      </c>
      <c r="AX163" s="27">
        <f t="shared" si="203"/>
        <v>13811128</v>
      </c>
      <c r="AY163" s="27">
        <v>719997</v>
      </c>
      <c r="AZ163" s="27">
        <v>2077931</v>
      </c>
      <c r="BA163" s="27">
        <v>3401572</v>
      </c>
      <c r="BB163" s="27">
        <v>148347</v>
      </c>
      <c r="BC163" s="27">
        <v>12511772</v>
      </c>
      <c r="BD163" s="27">
        <f t="shared" si="204"/>
        <v>18859619</v>
      </c>
      <c r="BE163" s="29">
        <f t="shared" si="172"/>
        <v>2.056272984929013E-2</v>
      </c>
      <c r="BF163" s="29">
        <f t="shared" si="173"/>
        <v>0.18598510770136037</v>
      </c>
      <c r="BG163" s="29">
        <f t="shared" si="174"/>
        <v>0.56060662046665533</v>
      </c>
      <c r="BH163" s="42">
        <f>VLOOKUP(B163,Unemployment!$A$2:$F$193,6,0)</f>
        <v>-0.29999999999999982</v>
      </c>
      <c r="BI163" s="29">
        <f>VLOOKUP(B163,Zillow!$C$11:$R$193,16,0)</f>
        <v>-1.380850847801812E-2</v>
      </c>
      <c r="BJ163" s="5"/>
      <c r="BK163" s="6">
        <v>10</v>
      </c>
      <c r="BL163" s="6">
        <v>40</v>
      </c>
      <c r="BM163" s="6">
        <v>30</v>
      </c>
      <c r="BN163" s="6">
        <v>10</v>
      </c>
      <c r="BO163" s="6">
        <v>10</v>
      </c>
      <c r="BP163" s="5"/>
      <c r="BQ163" s="43">
        <v>0.2</v>
      </c>
      <c r="BR163" s="43">
        <v>0.02</v>
      </c>
      <c r="BS163" s="43">
        <v>2.2000000000000002</v>
      </c>
      <c r="BT163" s="44">
        <v>0.02</v>
      </c>
      <c r="BU163" s="43">
        <v>-7.0000000000000007E-2</v>
      </c>
      <c r="BV163" s="5"/>
      <c r="BW163" s="43">
        <v>0.05</v>
      </c>
      <c r="BX163" s="43">
        <v>0.32</v>
      </c>
      <c r="BY163" s="43">
        <v>0.4</v>
      </c>
      <c r="BZ163" s="44">
        <v>0</v>
      </c>
      <c r="CA163" s="43">
        <v>0.03</v>
      </c>
      <c r="CB163" s="5"/>
      <c r="CC163" s="45">
        <f t="shared" si="175"/>
        <v>-1.5000000000000003E-2</v>
      </c>
      <c r="CD163" s="45">
        <f t="shared" si="176"/>
        <v>7.4999999999999997E-3</v>
      </c>
      <c r="CE163" s="45">
        <f t="shared" si="177"/>
        <v>-6.0000000000000012E-2</v>
      </c>
      <c r="CF163" s="46">
        <f t="shared" si="178"/>
        <v>-2E-3</v>
      </c>
      <c r="CG163" s="45">
        <f t="shared" si="179"/>
        <v>0.01</v>
      </c>
      <c r="CH163" s="5"/>
      <c r="CI163" s="44">
        <f t="shared" si="180"/>
        <v>10</v>
      </c>
      <c r="CJ163" s="44">
        <f t="shared" si="181"/>
        <v>22.131347693514719</v>
      </c>
      <c r="CK163" s="44">
        <f t="shared" si="182"/>
        <v>27.323222992222409</v>
      </c>
      <c r="CL163" s="44">
        <f t="shared" si="183"/>
        <v>10</v>
      </c>
      <c r="CM163" s="44">
        <f t="shared" si="184"/>
        <v>5.6191491521981884</v>
      </c>
      <c r="CN163" s="47">
        <f t="shared" si="185"/>
        <v>0</v>
      </c>
      <c r="CO163" s="5"/>
      <c r="CP163" s="47">
        <f t="shared" si="186"/>
        <v>2.8062729849290133E-2</v>
      </c>
      <c r="CQ163" s="47">
        <f t="shared" si="187"/>
        <v>8.9985107701360381E-2</v>
      </c>
      <c r="CR163" s="47">
        <f t="shared" si="188"/>
        <v>1.2806066204666555</v>
      </c>
      <c r="CS163" s="47">
        <f t="shared" si="189"/>
        <v>0.29999999999999982</v>
      </c>
      <c r="CT163" s="47">
        <f t="shared" si="190"/>
        <v>1.6808508478018121E-2</v>
      </c>
      <c r="CU163" s="47">
        <f t="shared" si="191"/>
        <v>1.7154629664953238</v>
      </c>
    </row>
    <row r="164" spans="1:99" ht="15" customHeight="1">
      <c r="A164" s="5"/>
      <c r="B164" s="37" t="s">
        <v>109</v>
      </c>
      <c r="C164" s="37" t="s">
        <v>252</v>
      </c>
      <c r="D164" s="37" t="s">
        <v>255</v>
      </c>
      <c r="E164" s="26">
        <v>42551</v>
      </c>
      <c r="F164" s="38">
        <f t="shared" si="170"/>
        <v>76.109101836406595</v>
      </c>
      <c r="G164" s="4">
        <f>390084331-260645420-34408429</f>
        <v>95030482</v>
      </c>
      <c r="H164" s="4">
        <f>181842945-155448897-16514221</f>
        <v>9879827</v>
      </c>
      <c r="I164" s="4">
        <v>390084331</v>
      </c>
      <c r="J164" s="4">
        <v>228057266</v>
      </c>
      <c r="K164" s="4">
        <v>35272406</v>
      </c>
      <c r="L164" s="4">
        <v>183410796</v>
      </c>
      <c r="M164" s="4">
        <v>1454969</v>
      </c>
      <c r="N164" s="4">
        <v>38211148</v>
      </c>
      <c r="O164" s="4">
        <v>7634713</v>
      </c>
      <c r="P164" s="4">
        <f t="shared" si="198"/>
        <v>230711626</v>
      </c>
      <c r="Q164" s="4">
        <v>223679286</v>
      </c>
      <c r="R164" s="4">
        <v>7032340</v>
      </c>
      <c r="S164" s="27">
        <v>219101390</v>
      </c>
      <c r="T164" s="27">
        <v>214543098</v>
      </c>
      <c r="U164" s="27">
        <v>233902700</v>
      </c>
      <c r="V164" s="27">
        <v>228729814</v>
      </c>
      <c r="W164" s="27">
        <v>3084582</v>
      </c>
      <c r="X164" s="27">
        <v>16514221</v>
      </c>
      <c r="Y164" s="27">
        <v>41987665</v>
      </c>
      <c r="Z164" s="27">
        <v>20582700</v>
      </c>
      <c r="AA164" s="27">
        <f>171963118-SUM(X164:Z164)</f>
        <v>92878532</v>
      </c>
      <c r="AB164" s="27">
        <f t="shared" si="200"/>
        <v>171963118</v>
      </c>
      <c r="AC164" s="27">
        <v>20582700</v>
      </c>
      <c r="AD164" s="27">
        <v>0</v>
      </c>
      <c r="AE164" s="27">
        <f t="shared" si="201"/>
        <v>20582700</v>
      </c>
      <c r="AF164" s="27">
        <v>0</v>
      </c>
      <c r="AG164" s="27">
        <v>9656580</v>
      </c>
      <c r="AH164" s="27">
        <v>9582214</v>
      </c>
      <c r="AI164" s="27">
        <v>9656580</v>
      </c>
      <c r="AJ164" s="26">
        <v>41821</v>
      </c>
      <c r="AK164" s="39">
        <v>28241077</v>
      </c>
      <c r="AL164" s="39">
        <v>105369932</v>
      </c>
      <c r="AM164" s="39">
        <f t="shared" si="202"/>
        <v>77128855</v>
      </c>
      <c r="AN164" s="40">
        <f t="shared" si="195"/>
        <v>0.26801836599837608</v>
      </c>
      <c r="AO164" s="58">
        <v>6.1249999999999999E-2</v>
      </c>
      <c r="AP164" s="40">
        <v>2.7E-2</v>
      </c>
      <c r="AQ164" s="27">
        <f t="shared" ref="AQ164:AR164" si="207">2725575+2239366+247130+2099055+1416354</f>
        <v>8727480</v>
      </c>
      <c r="AR164" s="27">
        <f t="shared" si="207"/>
        <v>8727480</v>
      </c>
      <c r="AS164" s="27">
        <v>404147</v>
      </c>
      <c r="AT164" s="27">
        <v>491129</v>
      </c>
      <c r="AU164" s="27">
        <v>372382</v>
      </c>
      <c r="AV164" s="27">
        <v>10114752</v>
      </c>
      <c r="AW164" s="27">
        <v>27518345</v>
      </c>
      <c r="AX164" s="27">
        <f t="shared" si="203"/>
        <v>38900755</v>
      </c>
      <c r="AY164" s="27">
        <v>421044</v>
      </c>
      <c r="AZ164" s="27">
        <v>2590527</v>
      </c>
      <c r="BA164" s="27">
        <v>15631564</v>
      </c>
      <c r="BB164" s="27">
        <v>10114752</v>
      </c>
      <c r="BC164" s="27">
        <v>26628240</v>
      </c>
      <c r="BD164" s="27">
        <f t="shared" si="204"/>
        <v>55386127</v>
      </c>
      <c r="BE164" s="29">
        <f t="shared" si="172"/>
        <v>3.7828522781075624E-2</v>
      </c>
      <c r="BF164" s="29">
        <f t="shared" si="173"/>
        <v>0.18131906998005595</v>
      </c>
      <c r="BG164" s="29">
        <f t="shared" si="174"/>
        <v>0.56336759119369217</v>
      </c>
      <c r="BH164" s="42">
        <f>VLOOKUP(B164,Unemployment!$A$2:$F$193,6,0)</f>
        <v>-0.5</v>
      </c>
      <c r="BI164" s="29">
        <f>VLOOKUP(B164,Zillow!$C$11:$R$193,16,0)</f>
        <v>3.2268569229400119E-3</v>
      </c>
      <c r="BJ164" s="5"/>
      <c r="BK164" s="6">
        <v>10</v>
      </c>
      <c r="BL164" s="6">
        <v>40</v>
      </c>
      <c r="BM164" s="6">
        <v>30</v>
      </c>
      <c r="BN164" s="6">
        <v>10</v>
      </c>
      <c r="BO164" s="6">
        <v>10</v>
      </c>
      <c r="BP164" s="5"/>
      <c r="BQ164" s="43">
        <v>0.2</v>
      </c>
      <c r="BR164" s="43">
        <v>0.02</v>
      </c>
      <c r="BS164" s="43">
        <v>2.2000000000000002</v>
      </c>
      <c r="BT164" s="44">
        <v>0.02</v>
      </c>
      <c r="BU164" s="43">
        <v>-7.0000000000000007E-2</v>
      </c>
      <c r="BV164" s="5"/>
      <c r="BW164" s="43">
        <v>0.05</v>
      </c>
      <c r="BX164" s="43">
        <v>0.32</v>
      </c>
      <c r="BY164" s="43">
        <v>0.4</v>
      </c>
      <c r="BZ164" s="44">
        <v>0</v>
      </c>
      <c r="CA164" s="43">
        <v>0.03</v>
      </c>
      <c r="CB164" s="5"/>
      <c r="CC164" s="45">
        <f t="shared" si="175"/>
        <v>-1.5000000000000003E-2</v>
      </c>
      <c r="CD164" s="45">
        <f t="shared" si="176"/>
        <v>7.4999999999999997E-3</v>
      </c>
      <c r="CE164" s="45">
        <f t="shared" si="177"/>
        <v>-6.0000000000000012E-2</v>
      </c>
      <c r="CF164" s="46">
        <f t="shared" si="178"/>
        <v>-2E-3</v>
      </c>
      <c r="CG164" s="45">
        <f t="shared" si="179"/>
        <v>0.01</v>
      </c>
      <c r="CH164" s="5"/>
      <c r="CI164" s="44">
        <f t="shared" si="180"/>
        <v>10</v>
      </c>
      <c r="CJ164" s="44">
        <f t="shared" si="181"/>
        <v>21.509209330674128</v>
      </c>
      <c r="CK164" s="44">
        <f t="shared" si="182"/>
        <v>27.277206813438461</v>
      </c>
      <c r="CL164" s="44">
        <f t="shared" si="183"/>
        <v>10</v>
      </c>
      <c r="CM164" s="44">
        <f t="shared" si="184"/>
        <v>7.3226856922940025</v>
      </c>
      <c r="CN164" s="47">
        <f t="shared" si="185"/>
        <v>0</v>
      </c>
      <c r="CO164" s="5"/>
      <c r="CP164" s="47">
        <f t="shared" si="186"/>
        <v>4.5328522781075624E-2</v>
      </c>
      <c r="CQ164" s="47">
        <f t="shared" si="187"/>
        <v>8.5319069980055964E-2</v>
      </c>
      <c r="CR164" s="47">
        <f t="shared" si="188"/>
        <v>1.2833675911936924</v>
      </c>
      <c r="CS164" s="47">
        <f t="shared" si="189"/>
        <v>0.5</v>
      </c>
      <c r="CT164" s="47">
        <f t="shared" si="190"/>
        <v>2.2685692294001228E-4</v>
      </c>
      <c r="CU164" s="47">
        <f t="shared" si="191"/>
        <v>1.9142420408777638</v>
      </c>
    </row>
    <row r="165" spans="1:99" ht="15" customHeight="1">
      <c r="A165" s="5"/>
      <c r="B165" s="37" t="s">
        <v>47</v>
      </c>
      <c r="C165" s="37" t="s">
        <v>252</v>
      </c>
      <c r="D165" s="37" t="s">
        <v>255</v>
      </c>
      <c r="E165" s="26">
        <v>42551</v>
      </c>
      <c r="F165" s="38">
        <f t="shared" si="170"/>
        <v>67.045592943049712</v>
      </c>
      <c r="G165" s="4">
        <f>196781345-90981432-73248148</f>
        <v>32551765</v>
      </c>
      <c r="H165" s="4">
        <f>4921341+732610</f>
        <v>5653951</v>
      </c>
      <c r="I165" s="4">
        <v>196781345</v>
      </c>
      <c r="J165" s="4">
        <v>104613887</v>
      </c>
      <c r="K165" s="4">
        <v>-2203031</v>
      </c>
      <c r="L165" s="4">
        <v>86302390</v>
      </c>
      <c r="M165" s="4">
        <v>7894571</v>
      </c>
      <c r="N165" s="4">
        <v>5087586</v>
      </c>
      <c r="O165" s="4">
        <v>20006578</v>
      </c>
      <c r="P165" s="4">
        <f t="shared" si="198"/>
        <v>119291125</v>
      </c>
      <c r="Q165" s="4">
        <v>109882980</v>
      </c>
      <c r="R165" s="4">
        <v>9408145</v>
      </c>
      <c r="S165" s="27">
        <v>103830445</v>
      </c>
      <c r="T165" s="27">
        <v>101012003</v>
      </c>
      <c r="U165" s="27">
        <v>118598582</v>
      </c>
      <c r="V165" s="27">
        <v>131748022</v>
      </c>
      <c r="W165" s="27">
        <v>201203</v>
      </c>
      <c r="X165" s="27">
        <v>5915435</v>
      </c>
      <c r="Y165" s="27">
        <v>24094845</v>
      </c>
      <c r="Z165" s="27">
        <v>12887773</v>
      </c>
      <c r="AA165" s="27">
        <f>98408586-SUM(X165:Z165)</f>
        <v>55510533</v>
      </c>
      <c r="AB165" s="27">
        <f t="shared" si="200"/>
        <v>98408586</v>
      </c>
      <c r="AC165" s="27">
        <v>12887773</v>
      </c>
      <c r="AD165" s="27">
        <v>0</v>
      </c>
      <c r="AE165" s="27">
        <f t="shared" si="201"/>
        <v>12887773</v>
      </c>
      <c r="AF165" s="27">
        <v>0</v>
      </c>
      <c r="AG165" s="27">
        <v>5002811</v>
      </c>
      <c r="AH165" s="27">
        <v>5109220</v>
      </c>
      <c r="AI165" s="27">
        <v>3115268</v>
      </c>
      <c r="AJ165" s="26">
        <v>42186</v>
      </c>
      <c r="AK165" s="39">
        <v>11340000</v>
      </c>
      <c r="AL165" s="39">
        <v>49268000</v>
      </c>
      <c r="AM165" s="39">
        <f t="shared" si="202"/>
        <v>37928000</v>
      </c>
      <c r="AN165" s="40">
        <f t="shared" si="195"/>
        <v>0.23016968417634165</v>
      </c>
      <c r="AO165" s="58">
        <v>7.2499999999999995E-2</v>
      </c>
      <c r="AP165" s="50" t="s">
        <v>314</v>
      </c>
      <c r="AQ165" s="27">
        <v>2393435</v>
      </c>
      <c r="AR165" s="27">
        <v>2393435</v>
      </c>
      <c r="AS165" s="27">
        <v>0</v>
      </c>
      <c r="AT165" s="27">
        <v>0</v>
      </c>
      <c r="AU165" s="27">
        <v>441233</v>
      </c>
      <c r="AV165" s="27">
        <v>481480</v>
      </c>
      <c r="AW165" s="27">
        <v>10910168</v>
      </c>
      <c r="AX165" s="27">
        <f t="shared" si="203"/>
        <v>11832881</v>
      </c>
      <c r="AY165" s="27">
        <v>36506</v>
      </c>
      <c r="AZ165" s="27">
        <v>1254389</v>
      </c>
      <c r="BA165" s="27">
        <v>10409032</v>
      </c>
      <c r="BB165" s="27">
        <v>481480</v>
      </c>
      <c r="BC165" s="27">
        <v>4623422</v>
      </c>
      <c r="BD165" s="27">
        <f t="shared" si="204"/>
        <v>16804829</v>
      </c>
      <c r="BE165" s="29">
        <f t="shared" si="172"/>
        <v>2.0063814470690926E-2</v>
      </c>
      <c r="BF165" s="29">
        <f t="shared" si="173"/>
        <v>0.11714331612650034</v>
      </c>
      <c r="BG165" s="29">
        <f t="shared" si="174"/>
        <v>0.62296118843711135</v>
      </c>
      <c r="BH165" s="42">
        <f>VLOOKUP(B165,Unemployment!$A$2:$F$193,6,0)</f>
        <v>-0.40000000000000036</v>
      </c>
      <c r="BI165" s="29">
        <f>VLOOKUP(B165,Zillow!$C$11:$R$193,16,0)</f>
        <v>8.091706001348618E-3</v>
      </c>
      <c r="BJ165" s="5"/>
      <c r="BK165" s="6">
        <v>10</v>
      </c>
      <c r="BL165" s="6">
        <v>40</v>
      </c>
      <c r="BM165" s="6">
        <v>30</v>
      </c>
      <c r="BN165" s="6">
        <v>10</v>
      </c>
      <c r="BO165" s="6">
        <v>10</v>
      </c>
      <c r="BP165" s="5"/>
      <c r="BQ165" s="43">
        <v>0.2</v>
      </c>
      <c r="BR165" s="43">
        <v>0.02</v>
      </c>
      <c r="BS165" s="43">
        <v>2.2000000000000002</v>
      </c>
      <c r="BT165" s="44">
        <v>0.02</v>
      </c>
      <c r="BU165" s="43">
        <v>-7.0000000000000007E-2</v>
      </c>
      <c r="BV165" s="5"/>
      <c r="BW165" s="43">
        <v>0.05</v>
      </c>
      <c r="BX165" s="43">
        <v>0.32</v>
      </c>
      <c r="BY165" s="43">
        <v>0.4</v>
      </c>
      <c r="BZ165" s="44">
        <v>0</v>
      </c>
      <c r="CA165" s="43">
        <v>0.03</v>
      </c>
      <c r="CB165" s="5"/>
      <c r="CC165" s="45">
        <f t="shared" si="175"/>
        <v>-1.5000000000000003E-2</v>
      </c>
      <c r="CD165" s="45">
        <f t="shared" si="176"/>
        <v>7.4999999999999997E-3</v>
      </c>
      <c r="CE165" s="45">
        <f t="shared" si="177"/>
        <v>-6.0000000000000012E-2</v>
      </c>
      <c r="CF165" s="46">
        <f t="shared" si="178"/>
        <v>-2E-3</v>
      </c>
      <c r="CG165" s="45">
        <f t="shared" si="179"/>
        <v>0.01</v>
      </c>
      <c r="CH165" s="5"/>
      <c r="CI165" s="44">
        <f t="shared" si="180"/>
        <v>10</v>
      </c>
      <c r="CJ165" s="44">
        <f t="shared" si="181"/>
        <v>12.952442150200044</v>
      </c>
      <c r="CK165" s="44">
        <f t="shared" si="182"/>
        <v>26.283980192714807</v>
      </c>
      <c r="CL165" s="44">
        <f t="shared" si="183"/>
        <v>10</v>
      </c>
      <c r="CM165" s="44">
        <f t="shared" si="184"/>
        <v>7.8091706001348626</v>
      </c>
      <c r="CN165" s="47">
        <f t="shared" si="185"/>
        <v>0</v>
      </c>
      <c r="CO165" s="5"/>
      <c r="CP165" s="47">
        <f t="shared" si="186"/>
        <v>2.756381447069093E-2</v>
      </c>
      <c r="CQ165" s="47">
        <f t="shared" si="187"/>
        <v>2.1143316126500347E-2</v>
      </c>
      <c r="CR165" s="47">
        <f t="shared" si="188"/>
        <v>1.3429611884371115</v>
      </c>
      <c r="CS165" s="47">
        <f t="shared" si="189"/>
        <v>0.40000000000000036</v>
      </c>
      <c r="CT165" s="47">
        <f t="shared" si="190"/>
        <v>5.0917060013486188E-3</v>
      </c>
      <c r="CU165" s="47">
        <f t="shared" si="191"/>
        <v>1.7967600250356519</v>
      </c>
    </row>
    <row r="166" spans="1:99" ht="15" customHeight="1">
      <c r="A166" s="5"/>
      <c r="B166" s="37" t="s">
        <v>113</v>
      </c>
      <c r="C166" s="37" t="s">
        <v>252</v>
      </c>
      <c r="D166" s="37" t="s">
        <v>255</v>
      </c>
      <c r="E166" s="26">
        <v>42551</v>
      </c>
      <c r="F166" s="38">
        <f t="shared" si="170"/>
        <v>76.609831492027411</v>
      </c>
      <c r="G166" s="4">
        <f>20581489-11124623-2935627</f>
        <v>6521239</v>
      </c>
      <c r="H166" s="4">
        <f>5891651-4012534-479368</f>
        <v>1399749</v>
      </c>
      <c r="I166" s="4">
        <v>20581489</v>
      </c>
      <c r="J166" s="4">
        <v>14719073</v>
      </c>
      <c r="K166" s="4">
        <v>2668149</v>
      </c>
      <c r="L166" s="4">
        <v>12250175</v>
      </c>
      <c r="M166" s="4">
        <v>146450</v>
      </c>
      <c r="N166" s="4">
        <v>661864</v>
      </c>
      <c r="O166" s="4">
        <v>5409390</v>
      </c>
      <c r="P166" s="4">
        <f t="shared" si="198"/>
        <v>18467879</v>
      </c>
      <c r="Q166" s="4">
        <v>18296505</v>
      </c>
      <c r="R166" s="4">
        <v>171374</v>
      </c>
      <c r="S166" s="27">
        <v>17474206</v>
      </c>
      <c r="T166" s="27">
        <v>17144790</v>
      </c>
      <c r="U166" s="27">
        <v>18448584</v>
      </c>
      <c r="V166" s="27">
        <v>19114140</v>
      </c>
      <c r="W166" s="27">
        <v>183202</v>
      </c>
      <c r="X166" s="27">
        <v>479368</v>
      </c>
      <c r="Y166" s="27">
        <v>127874</v>
      </c>
      <c r="Z166" s="27">
        <v>1082124</v>
      </c>
      <c r="AA166" s="27">
        <f>4491902-SUM(X166:Z166)</f>
        <v>2802536</v>
      </c>
      <c r="AB166" s="27">
        <f t="shared" si="200"/>
        <v>4491902</v>
      </c>
      <c r="AC166" s="27">
        <v>1082124</v>
      </c>
      <c r="AD166" s="27">
        <v>0</v>
      </c>
      <c r="AE166" s="27">
        <f t="shared" si="201"/>
        <v>1082124</v>
      </c>
      <c r="AF166" s="27">
        <v>0</v>
      </c>
      <c r="AG166" s="27">
        <v>61593</v>
      </c>
      <c r="AH166" s="27">
        <v>61981</v>
      </c>
      <c r="AI166" s="27">
        <v>38453</v>
      </c>
      <c r="AJ166" s="26">
        <v>41820</v>
      </c>
      <c r="AK166" s="39">
        <v>0</v>
      </c>
      <c r="AL166" s="39">
        <v>1075973</v>
      </c>
      <c r="AM166" s="39">
        <f t="shared" si="202"/>
        <v>1075973</v>
      </c>
      <c r="AN166" s="40">
        <f t="shared" si="195"/>
        <v>0</v>
      </c>
      <c r="AO166" s="41">
        <v>0.04</v>
      </c>
      <c r="AP166" s="50" t="s">
        <v>315</v>
      </c>
      <c r="AQ166" s="27">
        <v>25801</v>
      </c>
      <c r="AR166" s="27">
        <v>25801</v>
      </c>
      <c r="AS166" s="27">
        <v>0</v>
      </c>
      <c r="AT166" s="27">
        <v>0</v>
      </c>
      <c r="AU166" s="27">
        <v>526339</v>
      </c>
      <c r="AV166" s="27">
        <v>401335</v>
      </c>
      <c r="AW166" s="27">
        <v>1966148</v>
      </c>
      <c r="AX166" s="27">
        <f t="shared" si="203"/>
        <v>2893822</v>
      </c>
      <c r="AY166" s="27">
        <f>3726+720171</f>
        <v>723897</v>
      </c>
      <c r="AZ166" s="27">
        <v>74526</v>
      </c>
      <c r="BA166" s="27">
        <f>721093+1100238</f>
        <v>1821331</v>
      </c>
      <c r="BB166" s="27">
        <v>401335</v>
      </c>
      <c r="BC166" s="27">
        <v>1966148</v>
      </c>
      <c r="BD166" s="27">
        <f t="shared" si="204"/>
        <v>4987237</v>
      </c>
      <c r="BE166" s="29">
        <f t="shared" si="172"/>
        <v>1.3970743473032284E-3</v>
      </c>
      <c r="BF166" s="29">
        <f t="shared" si="173"/>
        <v>0.16878725257060601</v>
      </c>
      <c r="BG166" s="29">
        <f t="shared" si="174"/>
        <v>0.23630369248141597</v>
      </c>
      <c r="BH166" s="42">
        <f>VLOOKUP(B166,Unemployment!$A$2:$F$193,6,0)</f>
        <v>-0.39999999999999991</v>
      </c>
      <c r="BI166" s="29">
        <f>VLOOKUP(B166,Zillow!$C$11:$R$193,16,0)</f>
        <v>-2.2846885072006586E-3</v>
      </c>
      <c r="BJ166" s="5"/>
      <c r="BK166" s="6">
        <v>10</v>
      </c>
      <c r="BL166" s="6">
        <v>40</v>
      </c>
      <c r="BM166" s="6">
        <v>30</v>
      </c>
      <c r="BN166" s="6">
        <v>10</v>
      </c>
      <c r="BO166" s="6">
        <v>10</v>
      </c>
      <c r="BP166" s="5"/>
      <c r="BQ166" s="43">
        <v>0.2</v>
      </c>
      <c r="BR166" s="43">
        <v>0.02</v>
      </c>
      <c r="BS166" s="43">
        <v>2.2000000000000002</v>
      </c>
      <c r="BT166" s="44">
        <v>0.02</v>
      </c>
      <c r="BU166" s="43">
        <v>-7.0000000000000007E-2</v>
      </c>
      <c r="BV166" s="5"/>
      <c r="BW166" s="43">
        <v>0.05</v>
      </c>
      <c r="BX166" s="43">
        <v>0.32</v>
      </c>
      <c r="BY166" s="43">
        <v>0.4</v>
      </c>
      <c r="BZ166" s="44">
        <v>0</v>
      </c>
      <c r="CA166" s="43">
        <v>0.03</v>
      </c>
      <c r="CB166" s="5"/>
      <c r="CC166" s="45">
        <f t="shared" si="175"/>
        <v>-1.5000000000000003E-2</v>
      </c>
      <c r="CD166" s="45">
        <f t="shared" si="176"/>
        <v>7.4999999999999997E-3</v>
      </c>
      <c r="CE166" s="45">
        <f t="shared" si="177"/>
        <v>-6.0000000000000012E-2</v>
      </c>
      <c r="CF166" s="46">
        <f t="shared" si="178"/>
        <v>-2E-3</v>
      </c>
      <c r="CG166" s="45">
        <f t="shared" si="179"/>
        <v>0.01</v>
      </c>
      <c r="CH166" s="5"/>
      <c r="CI166" s="44">
        <f t="shared" si="180"/>
        <v>10</v>
      </c>
      <c r="CJ166" s="44">
        <f t="shared" si="181"/>
        <v>19.83830034274747</v>
      </c>
      <c r="CK166" s="44">
        <f t="shared" si="182"/>
        <v>30</v>
      </c>
      <c r="CL166" s="44">
        <f t="shared" si="183"/>
        <v>10</v>
      </c>
      <c r="CM166" s="44">
        <f t="shared" si="184"/>
        <v>6.7715311492799346</v>
      </c>
      <c r="CN166" s="47">
        <f t="shared" si="185"/>
        <v>0</v>
      </c>
      <c r="CO166" s="5"/>
      <c r="CP166" s="47">
        <f t="shared" si="186"/>
        <v>8.8970743473032309E-3</v>
      </c>
      <c r="CQ166" s="47">
        <f t="shared" si="187"/>
        <v>7.2787252570606017E-2</v>
      </c>
      <c r="CR166" s="47">
        <f t="shared" si="188"/>
        <v>0.95630369248141611</v>
      </c>
      <c r="CS166" s="47">
        <f t="shared" si="189"/>
        <v>0.39999999999999991</v>
      </c>
      <c r="CT166" s="47">
        <f t="shared" si="190"/>
        <v>5.2846885072006583E-3</v>
      </c>
      <c r="CU166" s="47">
        <f t="shared" si="191"/>
        <v>1.443272707906526</v>
      </c>
    </row>
    <row r="167" spans="1:99" ht="15" customHeight="1">
      <c r="A167" s="5"/>
      <c r="B167" s="37" t="s">
        <v>65</v>
      </c>
      <c r="C167" s="37" t="s">
        <v>252</v>
      </c>
      <c r="D167" s="37" t="s">
        <v>255</v>
      </c>
      <c r="E167" s="26">
        <v>42551</v>
      </c>
      <c r="F167" s="38">
        <f t="shared" si="170"/>
        <v>70.129824819623749</v>
      </c>
      <c r="G167" s="4">
        <f>239702130-120036845-51414912</f>
        <v>68250373</v>
      </c>
      <c r="H167" s="4">
        <f>10909615+800504</f>
        <v>11710119</v>
      </c>
      <c r="I167" s="4">
        <v>118133086</v>
      </c>
      <c r="J167" s="4">
        <v>125258843</v>
      </c>
      <c r="K167" s="4">
        <v>23617497</v>
      </c>
      <c r="L167" s="4">
        <v>117390340</v>
      </c>
      <c r="M167" s="4">
        <v>459517</v>
      </c>
      <c r="N167" s="4">
        <v>8899191</v>
      </c>
      <c r="O167" s="4">
        <v>13257244</v>
      </c>
      <c r="P167" s="4">
        <f t="shared" si="198"/>
        <v>140006292</v>
      </c>
      <c r="Q167" s="4">
        <v>138871679</v>
      </c>
      <c r="R167" s="4">
        <v>1134613</v>
      </c>
      <c r="S167" s="27">
        <v>130646516</v>
      </c>
      <c r="T167" s="27">
        <v>130652578</v>
      </c>
      <c r="U167" s="27">
        <v>136757166</v>
      </c>
      <c r="V167" s="27">
        <v>160921302</v>
      </c>
      <c r="W167" s="27">
        <v>-1019104</v>
      </c>
      <c r="X167" s="27">
        <v>10993694</v>
      </c>
      <c r="Y167" s="27">
        <v>9913401</v>
      </c>
      <c r="Z167" s="27">
        <v>0</v>
      </c>
      <c r="AA167" s="27">
        <f>106413693-SUM(X167:Z167)</f>
        <v>85506598</v>
      </c>
      <c r="AB167" s="27">
        <f t="shared" si="200"/>
        <v>106413693</v>
      </c>
      <c r="AC167" s="27">
        <v>0</v>
      </c>
      <c r="AD167" s="27">
        <v>0</v>
      </c>
      <c r="AE167" s="27">
        <f t="shared" si="201"/>
        <v>0</v>
      </c>
      <c r="AF167" s="27">
        <v>0</v>
      </c>
      <c r="AG167" s="27">
        <v>570912</v>
      </c>
      <c r="AH167" s="27">
        <v>570912</v>
      </c>
      <c r="AI167" s="27">
        <v>570912</v>
      </c>
      <c r="AJ167" s="26">
        <v>41821</v>
      </c>
      <c r="AK167" s="39">
        <v>4398419</v>
      </c>
      <c r="AL167" s="39">
        <v>7665302</v>
      </c>
      <c r="AM167" s="39">
        <f t="shared" si="202"/>
        <v>3266883</v>
      </c>
      <c r="AN167" s="40">
        <f t="shared" si="195"/>
        <v>0.57380896408256321</v>
      </c>
      <c r="AO167" s="40">
        <v>7.1249999999999994E-2</v>
      </c>
      <c r="AP167" s="50" t="s">
        <v>316</v>
      </c>
      <c r="AQ167" s="27">
        <v>2851154</v>
      </c>
      <c r="AR167" s="27">
        <v>3136270</v>
      </c>
      <c r="AS167" s="27">
        <v>106439</v>
      </c>
      <c r="AT167" s="27">
        <v>0</v>
      </c>
      <c r="AU167" s="27">
        <v>1252447</v>
      </c>
      <c r="AV167" s="27">
        <v>4513735</v>
      </c>
      <c r="AW167" s="27">
        <v>15889294</v>
      </c>
      <c r="AX167" s="27">
        <f t="shared" si="203"/>
        <v>21761915</v>
      </c>
      <c r="AY167" s="27">
        <v>173479</v>
      </c>
      <c r="AZ167" s="27">
        <v>11375841</v>
      </c>
      <c r="BA167" s="27">
        <v>4684487</v>
      </c>
      <c r="BB167" s="27">
        <v>4513735</v>
      </c>
      <c r="BC167" s="27">
        <v>15889294</v>
      </c>
      <c r="BD167" s="27">
        <f t="shared" si="204"/>
        <v>36636836</v>
      </c>
      <c r="BE167" s="29">
        <f t="shared" si="172"/>
        <v>2.0364470476798284E-2</v>
      </c>
      <c r="BF167" s="29">
        <f t="shared" si="173"/>
        <v>0.16656322694221923</v>
      </c>
      <c r="BG167" s="29">
        <f t="shared" si="174"/>
        <v>0.68925682282907685</v>
      </c>
      <c r="BH167" s="42">
        <f>VLOOKUP(B167,Unemployment!$A$2:$F$193,6,0)</f>
        <v>-0.19999999999999973</v>
      </c>
      <c r="BI167" s="29">
        <f>VLOOKUP(B167,Zillow!$C$11:$R$193,16,0)</f>
        <v>-1.5909917255208635E-2</v>
      </c>
      <c r="BJ167" s="5"/>
      <c r="BK167" s="6">
        <v>10</v>
      </c>
      <c r="BL167" s="6">
        <v>40</v>
      </c>
      <c r="BM167" s="6">
        <v>30</v>
      </c>
      <c r="BN167" s="6">
        <v>10</v>
      </c>
      <c r="BO167" s="6">
        <v>10</v>
      </c>
      <c r="BP167" s="5"/>
      <c r="BQ167" s="43">
        <v>0.2</v>
      </c>
      <c r="BR167" s="43">
        <v>0.02</v>
      </c>
      <c r="BS167" s="43">
        <v>2.2000000000000002</v>
      </c>
      <c r="BT167" s="44">
        <v>0.02</v>
      </c>
      <c r="BU167" s="43">
        <v>-7.0000000000000007E-2</v>
      </c>
      <c r="BV167" s="5"/>
      <c r="BW167" s="43">
        <v>0.05</v>
      </c>
      <c r="BX167" s="43">
        <v>0.32</v>
      </c>
      <c r="BY167" s="43">
        <v>0.4</v>
      </c>
      <c r="BZ167" s="44">
        <v>0</v>
      </c>
      <c r="CA167" s="43">
        <v>0.03</v>
      </c>
      <c r="CB167" s="5"/>
      <c r="CC167" s="45">
        <f t="shared" si="175"/>
        <v>-1.5000000000000003E-2</v>
      </c>
      <c r="CD167" s="45">
        <f t="shared" si="176"/>
        <v>7.4999999999999997E-3</v>
      </c>
      <c r="CE167" s="45">
        <f t="shared" si="177"/>
        <v>-6.0000000000000012E-2</v>
      </c>
      <c r="CF167" s="46">
        <f t="shared" si="178"/>
        <v>-2E-3</v>
      </c>
      <c r="CG167" s="45">
        <f t="shared" si="179"/>
        <v>0.01</v>
      </c>
      <c r="CH167" s="5"/>
      <c r="CI167" s="44">
        <f t="shared" si="180"/>
        <v>10</v>
      </c>
      <c r="CJ167" s="44">
        <f t="shared" si="181"/>
        <v>19.541763592295901</v>
      </c>
      <c r="CK167" s="44">
        <f t="shared" si="182"/>
        <v>25.179052952848718</v>
      </c>
      <c r="CL167" s="44">
        <f t="shared" si="183"/>
        <v>10</v>
      </c>
      <c r="CM167" s="44">
        <f t="shared" si="184"/>
        <v>5.4090082744791372</v>
      </c>
      <c r="CN167" s="47">
        <f t="shared" si="185"/>
        <v>0</v>
      </c>
      <c r="CO167" s="5"/>
      <c r="CP167" s="47">
        <f t="shared" si="186"/>
        <v>2.7864470476798287E-2</v>
      </c>
      <c r="CQ167" s="47">
        <f t="shared" si="187"/>
        <v>7.056322694221924E-2</v>
      </c>
      <c r="CR167" s="47">
        <f t="shared" si="188"/>
        <v>1.4092568228290769</v>
      </c>
      <c r="CS167" s="47">
        <f t="shared" si="189"/>
        <v>0.19999999999999973</v>
      </c>
      <c r="CT167" s="47">
        <f t="shared" si="190"/>
        <v>1.8909917255208634E-2</v>
      </c>
      <c r="CU167" s="47">
        <f t="shared" si="191"/>
        <v>1.7265944375033029</v>
      </c>
    </row>
    <row r="168" spans="1:99" ht="15" customHeight="1">
      <c r="A168" s="5"/>
      <c r="B168" s="37" t="s">
        <v>145</v>
      </c>
      <c r="C168" s="37" t="s">
        <v>252</v>
      </c>
      <c r="D168" s="37" t="s">
        <v>255</v>
      </c>
      <c r="E168" s="26">
        <v>42551</v>
      </c>
      <c r="F168" s="38">
        <f t="shared" si="170"/>
        <v>82.241545102697586</v>
      </c>
      <c r="G168" s="4">
        <f>85000211-25994712-44994281</f>
        <v>14011218</v>
      </c>
      <c r="H168" s="4">
        <f>22543905-1372205-19142033</f>
        <v>2029667</v>
      </c>
      <c r="I168" s="4">
        <v>85000211</v>
      </c>
      <c r="J168" s="4">
        <v>64867091</v>
      </c>
      <c r="K168" s="4">
        <v>-2739051</v>
      </c>
      <c r="L168" s="4">
        <f>22693437+275647+227+126873+2550</f>
        <v>23098734</v>
      </c>
      <c r="M168" s="4">
        <v>426070</v>
      </c>
      <c r="N168" s="4">
        <v>4170879</v>
      </c>
      <c r="O168" s="4">
        <v>14465116</v>
      </c>
      <c r="P168" s="4">
        <f>SUM(L168:O168)</f>
        <v>42160799</v>
      </c>
      <c r="Q168" s="4">
        <v>41488463</v>
      </c>
      <c r="R168" s="4">
        <f>P168-Q168</f>
        <v>672336</v>
      </c>
      <c r="S168" s="27">
        <v>34659810</v>
      </c>
      <c r="T168" s="27">
        <v>33052077</v>
      </c>
      <c r="U168" s="27">
        <v>39295777</v>
      </c>
      <c r="V168" s="27">
        <v>37699224</v>
      </c>
      <c r="W168" s="27">
        <v>1011480</v>
      </c>
      <c r="X168" s="27">
        <f>523663+848542</f>
        <v>1372205</v>
      </c>
      <c r="Y168" s="27">
        <f>9322300+941454</f>
        <v>10263754</v>
      </c>
      <c r="Z168" s="27">
        <v>2150102</v>
      </c>
      <c r="AA168" s="27">
        <f>18232175+2282063-Z168-Y168-X168</f>
        <v>6728177</v>
      </c>
      <c r="AB168" s="27">
        <f>X168+Y168+Z168+AA168</f>
        <v>20514238</v>
      </c>
      <c r="AC168" s="27">
        <v>2150102</v>
      </c>
      <c r="AD168" s="27">
        <v>0</v>
      </c>
      <c r="AE168" s="27">
        <f t="shared" si="201"/>
        <v>2150102</v>
      </c>
      <c r="AF168" s="27">
        <v>0</v>
      </c>
      <c r="AG168" s="27">
        <v>369733</v>
      </c>
      <c r="AH168" s="27">
        <v>333762</v>
      </c>
      <c r="AI168" s="27">
        <v>236669</v>
      </c>
      <c r="AJ168" s="26">
        <v>41821</v>
      </c>
      <c r="AK168" s="39">
        <v>0</v>
      </c>
      <c r="AL168" s="39">
        <v>5662846</v>
      </c>
      <c r="AM168" s="39">
        <f t="shared" si="202"/>
        <v>5662846</v>
      </c>
      <c r="AN168" s="40">
        <f t="shared" si="195"/>
        <v>0</v>
      </c>
      <c r="AO168" s="40">
        <v>3.5000000000000003E-2</v>
      </c>
      <c r="AP168" s="40"/>
      <c r="AQ168" s="27">
        <f>460938+274508</f>
        <v>735446</v>
      </c>
      <c r="AR168" s="27">
        <f>589100+274508</f>
        <v>863608</v>
      </c>
      <c r="AS168" s="27">
        <v>0</v>
      </c>
      <c r="AT168" s="27">
        <v>0</v>
      </c>
      <c r="AU168" s="27">
        <v>450000</v>
      </c>
      <c r="AV168" s="27">
        <v>0</v>
      </c>
      <c r="AW168" s="27">
        <v>5724511</v>
      </c>
      <c r="AX168" s="27">
        <f t="shared" si="203"/>
        <v>6174511</v>
      </c>
      <c r="AY168" s="27">
        <v>1505939</v>
      </c>
      <c r="AZ168" s="27">
        <v>680158</v>
      </c>
      <c r="BA168" s="27">
        <v>1599002</v>
      </c>
      <c r="BB168" s="27">
        <v>0</v>
      </c>
      <c r="BC168" s="27">
        <v>5042020</v>
      </c>
      <c r="BD168" s="27">
        <f t="shared" si="204"/>
        <v>8827119</v>
      </c>
      <c r="BE168" s="29">
        <f t="shared" si="172"/>
        <v>1.7443834496590066E-2</v>
      </c>
      <c r="BF168" s="29">
        <f t="shared" si="173"/>
        <v>0.18681158827023187</v>
      </c>
      <c r="BG168" s="29">
        <f t="shared" si="174"/>
        <v>0.24312831452743577</v>
      </c>
      <c r="BH168" s="42">
        <f>VLOOKUP(B168,Unemployment!$A$2:$F$193,6,0)</f>
        <v>-0.70000000000000018</v>
      </c>
      <c r="BI168" s="29">
        <f>VLOOKUP(B168,Zillow!$C$11:$R$193,16,0)</f>
        <v>3.03867403314915E-2</v>
      </c>
      <c r="BJ168" s="5"/>
      <c r="BK168" s="6">
        <v>10</v>
      </c>
      <c r="BL168" s="6">
        <v>40</v>
      </c>
      <c r="BM168" s="6">
        <v>30</v>
      </c>
      <c r="BN168" s="6">
        <v>10</v>
      </c>
      <c r="BO168" s="6">
        <v>10</v>
      </c>
      <c r="BP168" s="5"/>
      <c r="BQ168" s="43">
        <v>0.2</v>
      </c>
      <c r="BR168" s="43">
        <v>0.02</v>
      </c>
      <c r="BS168" s="43">
        <v>2.2000000000000002</v>
      </c>
      <c r="BT168" s="44">
        <v>0.02</v>
      </c>
      <c r="BU168" s="43">
        <v>-7.0000000000000007E-2</v>
      </c>
      <c r="BV168" s="5"/>
      <c r="BW168" s="43">
        <v>0.05</v>
      </c>
      <c r="BX168" s="43">
        <v>0.32</v>
      </c>
      <c r="BY168" s="43">
        <v>0.4</v>
      </c>
      <c r="BZ168" s="44">
        <v>0</v>
      </c>
      <c r="CA168" s="43">
        <v>0.03</v>
      </c>
      <c r="CB168" s="5"/>
      <c r="CC168" s="45">
        <f t="shared" si="175"/>
        <v>-1.5000000000000003E-2</v>
      </c>
      <c r="CD168" s="45">
        <f t="shared" si="176"/>
        <v>7.4999999999999997E-3</v>
      </c>
      <c r="CE168" s="45">
        <f t="shared" si="177"/>
        <v>-6.0000000000000012E-2</v>
      </c>
      <c r="CF168" s="46">
        <f t="shared" si="178"/>
        <v>-2E-3</v>
      </c>
      <c r="CG168" s="45">
        <f t="shared" si="179"/>
        <v>0.01</v>
      </c>
      <c r="CH168" s="5"/>
      <c r="CI168" s="44">
        <f t="shared" si="180"/>
        <v>10</v>
      </c>
      <c r="CJ168" s="44">
        <f t="shared" si="181"/>
        <v>22.241545102697586</v>
      </c>
      <c r="CK168" s="44">
        <f t="shared" si="182"/>
        <v>30</v>
      </c>
      <c r="CL168" s="44">
        <f t="shared" si="183"/>
        <v>10</v>
      </c>
      <c r="CM168" s="44">
        <f t="shared" si="184"/>
        <v>10</v>
      </c>
      <c r="CN168" s="47">
        <f t="shared" si="185"/>
        <v>0</v>
      </c>
      <c r="CO168" s="5"/>
      <c r="CP168" s="47">
        <f t="shared" si="186"/>
        <v>2.4943834496590069E-2</v>
      </c>
      <c r="CQ168" s="47">
        <f t="shared" si="187"/>
        <v>9.0811588270231877E-2</v>
      </c>
      <c r="CR168" s="47">
        <f t="shared" si="188"/>
        <v>0.96312831452743597</v>
      </c>
      <c r="CS168" s="47">
        <f t="shared" si="189"/>
        <v>0.70000000000000018</v>
      </c>
      <c r="CT168" s="47">
        <f t="shared" si="190"/>
        <v>2.7386740331491501E-2</v>
      </c>
      <c r="CU168" s="47">
        <f t="shared" si="191"/>
        <v>1.8062704776257497</v>
      </c>
    </row>
    <row r="169" spans="1:99" ht="15" customHeight="1">
      <c r="A169" s="5"/>
      <c r="B169" s="37" t="s">
        <v>89</v>
      </c>
      <c r="C169" s="37" t="s">
        <v>252</v>
      </c>
      <c r="D169" s="37" t="s">
        <v>255</v>
      </c>
      <c r="E169" s="26">
        <v>42551</v>
      </c>
      <c r="F169" s="38">
        <f t="shared" si="170"/>
        <v>73.710542524567842</v>
      </c>
      <c r="G169" s="4">
        <v>42431867</v>
      </c>
      <c r="H169" s="4">
        <v>17315235</v>
      </c>
      <c r="I169" s="4">
        <v>164003699</v>
      </c>
      <c r="J169" s="4">
        <v>92252840</v>
      </c>
      <c r="K169" s="4">
        <v>9030783</v>
      </c>
      <c r="L169" s="4">
        <v>42240653</v>
      </c>
      <c r="M169" s="4">
        <v>3596919</v>
      </c>
      <c r="N169" s="4">
        <v>9715123</v>
      </c>
      <c r="O169" s="4">
        <v>52222241</v>
      </c>
      <c r="P169" s="4">
        <f>L169+M169+N169+O169</f>
        <v>107774936</v>
      </c>
      <c r="Q169" s="4">
        <v>113128848</v>
      </c>
      <c r="R169" s="4">
        <v>5353912</v>
      </c>
      <c r="S169" s="2" t="s">
        <v>317</v>
      </c>
      <c r="T169" s="27">
        <v>76352373</v>
      </c>
      <c r="U169" s="27">
        <v>100016764</v>
      </c>
      <c r="V169" s="27">
        <v>109062582</v>
      </c>
      <c r="W169" s="27">
        <v>-2565161</v>
      </c>
      <c r="X169" s="27">
        <v>4645010</v>
      </c>
      <c r="Y169" s="27">
        <v>7017990</v>
      </c>
      <c r="Z169" s="27">
        <v>11889489</v>
      </c>
      <c r="AA169" s="27">
        <v>31525277</v>
      </c>
      <c r="AB169" s="27">
        <f>SUM(X169:AA169)</f>
        <v>55077766</v>
      </c>
      <c r="AC169" s="27">
        <v>11889489</v>
      </c>
      <c r="AD169" s="27">
        <v>0</v>
      </c>
      <c r="AE169" s="27">
        <f t="shared" si="201"/>
        <v>11889489</v>
      </c>
      <c r="AF169" s="27">
        <v>0</v>
      </c>
      <c r="AG169" s="27">
        <v>1254200</v>
      </c>
      <c r="AH169" s="27">
        <v>1084955</v>
      </c>
      <c r="AI169" s="27">
        <v>32402</v>
      </c>
      <c r="AJ169" s="26">
        <v>41821</v>
      </c>
      <c r="AK169" s="39">
        <v>0</v>
      </c>
      <c r="AL169" s="39">
        <v>12259100</v>
      </c>
      <c r="AM169" s="39">
        <f t="shared" si="202"/>
        <v>12259100</v>
      </c>
      <c r="AN169" s="40">
        <v>0</v>
      </c>
      <c r="AO169" s="50" t="s">
        <v>318</v>
      </c>
      <c r="AP169" s="40">
        <v>0.04</v>
      </c>
      <c r="AQ169" s="27">
        <v>1254200</v>
      </c>
      <c r="AR169" s="27">
        <v>32402</v>
      </c>
      <c r="AS169" s="27">
        <v>118964</v>
      </c>
      <c r="AT169" s="27">
        <v>722080</v>
      </c>
      <c r="AU169" s="27">
        <v>0</v>
      </c>
      <c r="AV169" s="27">
        <v>0</v>
      </c>
      <c r="AW169" s="27">
        <v>9495320</v>
      </c>
      <c r="AX169" s="27">
        <f t="shared" si="203"/>
        <v>10336364</v>
      </c>
      <c r="AY169" s="27">
        <v>262368</v>
      </c>
      <c r="AZ169" s="27">
        <v>2492011</v>
      </c>
      <c r="BA169" s="27">
        <v>720906</v>
      </c>
      <c r="BB169" s="27">
        <v>0</v>
      </c>
      <c r="BC169" s="27">
        <v>-1607357</v>
      </c>
      <c r="BD169" s="27">
        <f t="shared" si="204"/>
        <v>1867928</v>
      </c>
      <c r="BE169" s="29">
        <f t="shared" si="172"/>
        <v>1.1637214055037806E-2</v>
      </c>
      <c r="BF169" s="29">
        <f t="shared" si="173"/>
        <v>0.13537711526005877</v>
      </c>
      <c r="BG169" s="29">
        <f t="shared" si="174"/>
        <v>0.44592720518989687</v>
      </c>
      <c r="BH169" s="42">
        <f>VLOOKUP(B169,Unemployment!$A$2:$F$193,6,0)</f>
        <v>-1</v>
      </c>
      <c r="BI169" s="29">
        <f>VLOOKUP(B169,Zillow!$C$11:$R$193,16,0)</f>
        <v>2.0923805763916187E-2</v>
      </c>
      <c r="BJ169" s="5"/>
      <c r="BK169" s="6">
        <v>10</v>
      </c>
      <c r="BL169" s="6">
        <v>40</v>
      </c>
      <c r="BM169" s="6">
        <v>30</v>
      </c>
      <c r="BN169" s="6">
        <v>10</v>
      </c>
      <c r="BO169" s="6">
        <v>10</v>
      </c>
      <c r="BP169" s="5"/>
      <c r="BQ169" s="43">
        <v>0.2</v>
      </c>
      <c r="BR169" s="43">
        <v>0.02</v>
      </c>
      <c r="BS169" s="43">
        <v>2.2000000000000002</v>
      </c>
      <c r="BT169" s="44">
        <v>0.02</v>
      </c>
      <c r="BU169" s="43">
        <v>-7.0000000000000007E-2</v>
      </c>
      <c r="BV169" s="5"/>
      <c r="BW169" s="43">
        <v>0.05</v>
      </c>
      <c r="BX169" s="43">
        <v>0.32</v>
      </c>
      <c r="BY169" s="43">
        <v>0.4</v>
      </c>
      <c r="BZ169" s="44">
        <v>0</v>
      </c>
      <c r="CA169" s="43">
        <v>0.03</v>
      </c>
      <c r="CB169" s="5"/>
      <c r="CC169" s="45">
        <f t="shared" si="175"/>
        <v>-1.5000000000000003E-2</v>
      </c>
      <c r="CD169" s="45">
        <f t="shared" si="176"/>
        <v>7.4999999999999997E-3</v>
      </c>
      <c r="CE169" s="45">
        <f t="shared" si="177"/>
        <v>-6.0000000000000012E-2</v>
      </c>
      <c r="CF169" s="46">
        <f t="shared" si="178"/>
        <v>-2E-3</v>
      </c>
      <c r="CG169" s="45">
        <f t="shared" si="179"/>
        <v>0.01</v>
      </c>
      <c r="CH169" s="5"/>
      <c r="CI169" s="44">
        <f t="shared" si="180"/>
        <v>10</v>
      </c>
      <c r="CJ169" s="44">
        <f t="shared" si="181"/>
        <v>15.383615368007836</v>
      </c>
      <c r="CK169" s="44">
        <f t="shared" si="182"/>
        <v>29.234546580168384</v>
      </c>
      <c r="CL169" s="44">
        <f t="shared" si="183"/>
        <v>10</v>
      </c>
      <c r="CM169" s="44">
        <f t="shared" si="184"/>
        <v>9.0923805763916192</v>
      </c>
      <c r="CN169" s="47">
        <f t="shared" si="185"/>
        <v>0</v>
      </c>
      <c r="CO169" s="5"/>
      <c r="CP169" s="47">
        <f t="shared" si="186"/>
        <v>1.9137214055037807E-2</v>
      </c>
      <c r="CQ169" s="47">
        <f t="shared" si="187"/>
        <v>3.9377115260058784E-2</v>
      </c>
      <c r="CR169" s="47">
        <f t="shared" si="188"/>
        <v>1.165927205189897</v>
      </c>
      <c r="CS169" s="47">
        <f t="shared" si="189"/>
        <v>1</v>
      </c>
      <c r="CT169" s="47">
        <f t="shared" si="190"/>
        <v>1.7923805763916188E-2</v>
      </c>
      <c r="CU169" s="47">
        <f t="shared" si="191"/>
        <v>2.2423653402689099</v>
      </c>
    </row>
    <row r="170" spans="1:99" ht="15" customHeight="1">
      <c r="A170" s="5"/>
      <c r="B170" s="37" t="s">
        <v>117</v>
      </c>
      <c r="C170" s="37" t="s">
        <v>252</v>
      </c>
      <c r="D170" s="37" t="s">
        <v>255</v>
      </c>
      <c r="E170" s="26">
        <v>42551</v>
      </c>
      <c r="F170" s="38">
        <f t="shared" si="170"/>
        <v>77.009200740804502</v>
      </c>
      <c r="G170" s="4">
        <f>I170-11431419-92273184</f>
        <v>91280638</v>
      </c>
      <c r="H170" s="4">
        <f>138460073-7564707-122513506</f>
        <v>8381860</v>
      </c>
      <c r="I170" s="4">
        <v>194985241</v>
      </c>
      <c r="J170" s="4">
        <v>62503334</v>
      </c>
      <c r="K170" s="4">
        <v>-9601845</v>
      </c>
      <c r="L170" s="4">
        <v>91568261</v>
      </c>
      <c r="M170" s="4">
        <v>446223</v>
      </c>
      <c r="N170" s="4">
        <v>6851092</v>
      </c>
      <c r="O170" s="4">
        <v>26909894</v>
      </c>
      <c r="P170" s="4">
        <f>SUM(L170:O170)</f>
        <v>125775470</v>
      </c>
      <c r="Q170" s="4">
        <v>129463491</v>
      </c>
      <c r="R170" s="4">
        <v>-3688021</v>
      </c>
      <c r="S170" s="27">
        <v>114990555</v>
      </c>
      <c r="T170" s="27">
        <v>106587810</v>
      </c>
      <c r="U170" s="27">
        <v>123245893</v>
      </c>
      <c r="V170" s="27">
        <v>129250928</v>
      </c>
      <c r="W170" s="27">
        <v>765549</v>
      </c>
      <c r="X170" s="27">
        <f>6065331+1499376</f>
        <v>7564707</v>
      </c>
      <c r="Y170" s="27">
        <v>15375257</v>
      </c>
      <c r="Z170" s="27">
        <v>37648195</v>
      </c>
      <c r="AA170" s="27">
        <f>92933509+37144704-Z170-Y170-X170</f>
        <v>69490054</v>
      </c>
      <c r="AB170" s="27">
        <f>X170+Y170+Z170+AA170</f>
        <v>130078213</v>
      </c>
      <c r="AC170" s="27">
        <v>37648195</v>
      </c>
      <c r="AD170" s="27">
        <v>0</v>
      </c>
      <c r="AE170" s="27">
        <f t="shared" si="201"/>
        <v>37648195</v>
      </c>
      <c r="AF170" s="27">
        <v>0</v>
      </c>
      <c r="AG170" s="27">
        <v>6762112</v>
      </c>
      <c r="AH170" s="27">
        <v>6624331</v>
      </c>
      <c r="AI170" s="27">
        <v>2593319</v>
      </c>
      <c r="AJ170" s="26">
        <v>41456</v>
      </c>
      <c r="AK170" s="39">
        <v>0</v>
      </c>
      <c r="AL170" s="39">
        <v>71595156</v>
      </c>
      <c r="AM170" s="39">
        <f t="shared" si="202"/>
        <v>71595156</v>
      </c>
      <c r="AN170" s="40">
        <f>AK170/AL170</f>
        <v>0</v>
      </c>
      <c r="AO170" s="40">
        <v>0.05</v>
      </c>
      <c r="AP170" s="40">
        <v>2.75E-2</v>
      </c>
      <c r="AQ170" s="27">
        <f t="shared" ref="AQ170:AR170" si="208">1026539+839857</f>
        <v>1866396</v>
      </c>
      <c r="AR170" s="27">
        <f t="shared" si="208"/>
        <v>1866396</v>
      </c>
      <c r="AS170" s="27">
        <v>21599</v>
      </c>
      <c r="AT170" s="27">
        <v>0</v>
      </c>
      <c r="AU170" s="27">
        <v>0</v>
      </c>
      <c r="AV170" s="27">
        <v>4727980</v>
      </c>
      <c r="AW170" s="27">
        <v>19642852</v>
      </c>
      <c r="AX170" s="27">
        <f t="shared" si="203"/>
        <v>24392431</v>
      </c>
      <c r="AY170" s="27">
        <v>43701</v>
      </c>
      <c r="AZ170" s="27">
        <v>5908543</v>
      </c>
      <c r="BA170" s="27">
        <v>5780688</v>
      </c>
      <c r="BB170" s="27">
        <v>6033335</v>
      </c>
      <c r="BC170" s="27">
        <v>19642852</v>
      </c>
      <c r="BD170" s="27">
        <f t="shared" si="204"/>
        <v>37409119</v>
      </c>
      <c r="BE170" s="29">
        <f t="shared" si="172"/>
        <v>1.4839109724654577E-2</v>
      </c>
      <c r="BF170" s="29">
        <f t="shared" si="173"/>
        <v>0.22884822382597034</v>
      </c>
      <c r="BG170" s="29">
        <f t="shared" si="174"/>
        <v>0.91196602962405948</v>
      </c>
      <c r="BH170" s="42">
        <f>VLOOKUP(B170,Unemployment!$A$2:$F$193,6,0)</f>
        <v>-0.59999999999999964</v>
      </c>
      <c r="BI170" s="29">
        <f>VLOOKUP(B170,Zillow!$C$11:$R$193,16,0)</f>
        <v>6.9553805774278214E-3</v>
      </c>
      <c r="BJ170" s="5"/>
      <c r="BK170" s="6">
        <v>10</v>
      </c>
      <c r="BL170" s="6">
        <v>40</v>
      </c>
      <c r="BM170" s="6">
        <v>30</v>
      </c>
      <c r="BN170" s="6">
        <v>10</v>
      </c>
      <c r="BO170" s="6">
        <v>10</v>
      </c>
      <c r="BP170" s="5"/>
      <c r="BQ170" s="43">
        <v>0.2</v>
      </c>
      <c r="BR170" s="43">
        <v>0.02</v>
      </c>
      <c r="BS170" s="43">
        <v>2.2000000000000002</v>
      </c>
      <c r="BT170" s="44">
        <v>0.02</v>
      </c>
      <c r="BU170" s="43">
        <v>-7.0000000000000007E-2</v>
      </c>
      <c r="BV170" s="5"/>
      <c r="BW170" s="43">
        <v>0.05</v>
      </c>
      <c r="BX170" s="43">
        <v>0.32</v>
      </c>
      <c r="BY170" s="43">
        <v>0.4</v>
      </c>
      <c r="BZ170" s="44">
        <v>0</v>
      </c>
      <c r="CA170" s="43">
        <v>0.03</v>
      </c>
      <c r="CB170" s="5"/>
      <c r="CC170" s="45">
        <f t="shared" si="175"/>
        <v>-1.5000000000000003E-2</v>
      </c>
      <c r="CD170" s="45">
        <f t="shared" si="176"/>
        <v>7.4999999999999997E-3</v>
      </c>
      <c r="CE170" s="45">
        <f t="shared" si="177"/>
        <v>-6.0000000000000012E-2</v>
      </c>
      <c r="CF170" s="46">
        <f t="shared" si="178"/>
        <v>-2E-3</v>
      </c>
      <c r="CG170" s="45">
        <f t="shared" si="179"/>
        <v>0.01</v>
      </c>
      <c r="CH170" s="5"/>
      <c r="CI170" s="44">
        <f t="shared" si="180"/>
        <v>10</v>
      </c>
      <c r="CJ170" s="44">
        <f t="shared" si="181"/>
        <v>27.846429843462715</v>
      </c>
      <c r="CK170" s="44">
        <f t="shared" si="182"/>
        <v>21.467232839599006</v>
      </c>
      <c r="CL170" s="44">
        <f t="shared" si="183"/>
        <v>10</v>
      </c>
      <c r="CM170" s="44">
        <f t="shared" si="184"/>
        <v>7.695538057742783</v>
      </c>
      <c r="CN170" s="47">
        <f t="shared" si="185"/>
        <v>0</v>
      </c>
      <c r="CO170" s="5"/>
      <c r="CP170" s="47">
        <f t="shared" si="186"/>
        <v>2.2339109724654579E-2</v>
      </c>
      <c r="CQ170" s="47">
        <f t="shared" si="187"/>
        <v>0.13284822382597034</v>
      </c>
      <c r="CR170" s="47">
        <f t="shared" si="188"/>
        <v>1.6319660296240597</v>
      </c>
      <c r="CS170" s="47">
        <f t="shared" si="189"/>
        <v>0.59999999999999964</v>
      </c>
      <c r="CT170" s="47">
        <f t="shared" si="190"/>
        <v>3.9553805774278222E-3</v>
      </c>
      <c r="CU170" s="47">
        <f t="shared" si="191"/>
        <v>2.3911087437521119</v>
      </c>
    </row>
    <row r="171" spans="1:99" ht="15" customHeight="1">
      <c r="A171" s="5"/>
      <c r="B171" s="37" t="s">
        <v>160</v>
      </c>
      <c r="C171" s="37" t="s">
        <v>252</v>
      </c>
      <c r="D171" s="37" t="s">
        <v>255</v>
      </c>
      <c r="E171" s="26">
        <v>42551</v>
      </c>
      <c r="F171" s="38">
        <f t="shared" si="170"/>
        <v>92.037049736454719</v>
      </c>
      <c r="G171" s="4">
        <f>118823982-71155174-14699567</f>
        <v>32969241</v>
      </c>
      <c r="H171" s="4">
        <f>36485765-27585589-2583125</f>
        <v>6317051</v>
      </c>
      <c r="I171" s="4">
        <v>118823982</v>
      </c>
      <c r="J171" s="4">
        <v>83780049</v>
      </c>
      <c r="K171" s="4">
        <v>18652219</v>
      </c>
      <c r="L171" s="4">
        <v>37155802</v>
      </c>
      <c r="M171" s="4">
        <v>600000</v>
      </c>
      <c r="N171" s="4">
        <v>5494907</v>
      </c>
      <c r="O171" s="4">
        <v>14745877</v>
      </c>
      <c r="P171" s="4">
        <f>SUM(L171:O171)</f>
        <v>57996586</v>
      </c>
      <c r="Q171" s="4">
        <v>53107849</v>
      </c>
      <c r="R171" s="4">
        <v>4888737</v>
      </c>
      <c r="S171" s="27">
        <v>49450604</v>
      </c>
      <c r="T171" s="27">
        <v>48104776</v>
      </c>
      <c r="U171" s="27">
        <v>58247795</v>
      </c>
      <c r="V171" s="27">
        <v>63471204</v>
      </c>
      <c r="W171" s="27">
        <v>590038</v>
      </c>
      <c r="X171" s="27">
        <v>2583125</v>
      </c>
      <c r="Y171" s="27">
        <v>5898563</v>
      </c>
      <c r="Z171" s="27">
        <v>886973</v>
      </c>
      <c r="AA171" s="27">
        <f>AB171-SUM(X171:Z171)</f>
        <v>20800053</v>
      </c>
      <c r="AB171" s="27">
        <v>30168714</v>
      </c>
      <c r="AC171" s="27">
        <v>886973</v>
      </c>
      <c r="AD171" s="27">
        <v>0</v>
      </c>
      <c r="AE171" s="27">
        <f t="shared" si="201"/>
        <v>886973</v>
      </c>
      <c r="AF171" s="27">
        <v>0</v>
      </c>
      <c r="AG171" s="27">
        <v>360756</v>
      </c>
      <c r="AH171" s="27">
        <v>357477</v>
      </c>
      <c r="AI171" s="27">
        <v>347299</v>
      </c>
      <c r="AJ171" s="26">
        <v>42186</v>
      </c>
      <c r="AK171" s="39">
        <v>2092160</v>
      </c>
      <c r="AL171" s="39">
        <v>4798725</v>
      </c>
      <c r="AM171" s="39">
        <f t="shared" si="202"/>
        <v>2706565</v>
      </c>
      <c r="AN171" s="40">
        <f>AK171/AL171</f>
        <v>0.43598247451145877</v>
      </c>
      <c r="AO171" s="40">
        <v>6.5000000000000002E-2</v>
      </c>
      <c r="AP171" s="40"/>
      <c r="AQ171" s="27">
        <v>833404</v>
      </c>
      <c r="AR171" s="27">
        <v>833404</v>
      </c>
      <c r="AS171" s="27">
        <v>0</v>
      </c>
      <c r="AT171" s="27">
        <v>0</v>
      </c>
      <c r="AU171" s="27">
        <v>0</v>
      </c>
      <c r="AV171" s="27">
        <v>1026584</v>
      </c>
      <c r="AW171" s="27">
        <v>12030047</v>
      </c>
      <c r="AX171" s="27">
        <f t="shared" si="203"/>
        <v>13056631</v>
      </c>
      <c r="AY171" s="27">
        <v>12445</v>
      </c>
      <c r="AZ171" s="27">
        <v>414109</v>
      </c>
      <c r="BA171" s="27">
        <v>5339686</v>
      </c>
      <c r="BB171" s="27">
        <v>1026584</v>
      </c>
      <c r="BC171" s="27">
        <v>12016033</v>
      </c>
      <c r="BD171" s="27">
        <f t="shared" si="204"/>
        <v>18808857</v>
      </c>
      <c r="BE171" s="29">
        <f t="shared" si="172"/>
        <v>1.4369880323645258E-2</v>
      </c>
      <c r="BF171" s="29">
        <f t="shared" si="173"/>
        <v>0.27142067972627082</v>
      </c>
      <c r="BG171" s="29">
        <f t="shared" si="174"/>
        <v>0.41847551164477165</v>
      </c>
      <c r="BH171" s="42">
        <f>VLOOKUP(B171,Unemployment!$A$2:$F$193,6,0)</f>
        <v>-0.29999999999999982</v>
      </c>
      <c r="BI171" s="29">
        <f>VLOOKUP(B171,Zillow!$C$11:$R$193,16,0)</f>
        <v>1.8222176336981331E-2</v>
      </c>
      <c r="BJ171" s="5"/>
      <c r="BK171" s="6">
        <v>10</v>
      </c>
      <c r="BL171" s="6">
        <v>40</v>
      </c>
      <c r="BM171" s="6">
        <v>30</v>
      </c>
      <c r="BN171" s="6">
        <v>10</v>
      </c>
      <c r="BO171" s="6">
        <v>10</v>
      </c>
      <c r="BP171" s="5"/>
      <c r="BQ171" s="43">
        <v>0.2</v>
      </c>
      <c r="BR171" s="43">
        <v>0.02</v>
      </c>
      <c r="BS171" s="43">
        <v>2.2000000000000002</v>
      </c>
      <c r="BT171" s="44">
        <v>0.02</v>
      </c>
      <c r="BU171" s="43">
        <v>-7.0000000000000007E-2</v>
      </c>
      <c r="BV171" s="5"/>
      <c r="BW171" s="43">
        <v>0.05</v>
      </c>
      <c r="BX171" s="43">
        <v>0.32</v>
      </c>
      <c r="BY171" s="43">
        <v>0.4</v>
      </c>
      <c r="BZ171" s="44">
        <v>0</v>
      </c>
      <c r="CA171" s="43">
        <v>0.03</v>
      </c>
      <c r="CB171" s="5"/>
      <c r="CC171" s="45">
        <f t="shared" si="175"/>
        <v>-1.5000000000000003E-2</v>
      </c>
      <c r="CD171" s="45">
        <f t="shared" si="176"/>
        <v>7.4999999999999997E-3</v>
      </c>
      <c r="CE171" s="45">
        <f t="shared" si="177"/>
        <v>-6.0000000000000012E-2</v>
      </c>
      <c r="CF171" s="46">
        <f t="shared" si="178"/>
        <v>-2E-3</v>
      </c>
      <c r="CG171" s="45">
        <f t="shared" si="179"/>
        <v>0.01</v>
      </c>
      <c r="CH171" s="5"/>
      <c r="CI171" s="44">
        <f t="shared" si="180"/>
        <v>10</v>
      </c>
      <c r="CJ171" s="44">
        <f t="shared" si="181"/>
        <v>33.522757296836112</v>
      </c>
      <c r="CK171" s="44">
        <f t="shared" si="182"/>
        <v>29.69207480592047</v>
      </c>
      <c r="CL171" s="44">
        <f t="shared" si="183"/>
        <v>10</v>
      </c>
      <c r="CM171" s="44">
        <f t="shared" si="184"/>
        <v>8.8222176336981342</v>
      </c>
      <c r="CN171" s="47">
        <f t="shared" si="185"/>
        <v>0</v>
      </c>
      <c r="CO171" s="5"/>
      <c r="CP171" s="47">
        <f t="shared" si="186"/>
        <v>2.1869880323645261E-2</v>
      </c>
      <c r="CQ171" s="47">
        <f t="shared" si="187"/>
        <v>0.17542067972627085</v>
      </c>
      <c r="CR171" s="47">
        <f t="shared" si="188"/>
        <v>1.1384755116447718</v>
      </c>
      <c r="CS171" s="47">
        <f t="shared" si="189"/>
        <v>0.29999999999999982</v>
      </c>
      <c r="CT171" s="47">
        <f t="shared" si="190"/>
        <v>1.5222176336981332E-2</v>
      </c>
      <c r="CU171" s="47">
        <f t="shared" si="191"/>
        <v>1.6509882480316691</v>
      </c>
    </row>
    <row r="172" spans="1:99" ht="15" customHeight="1">
      <c r="A172" s="5"/>
      <c r="B172" s="37" t="s">
        <v>28</v>
      </c>
      <c r="C172" s="37" t="s">
        <v>252</v>
      </c>
      <c r="D172" s="37" t="s">
        <v>255</v>
      </c>
      <c r="E172" s="26">
        <v>42551</v>
      </c>
      <c r="F172" s="38">
        <f t="shared" si="170"/>
        <v>63.034252874667615</v>
      </c>
      <c r="G172" s="4">
        <f>107595663-81512661-4309487</f>
        <v>21773515</v>
      </c>
      <c r="H172" s="4">
        <f>71250391-47658922-8510924</f>
        <v>15080545</v>
      </c>
      <c r="I172" s="4">
        <v>107595663</v>
      </c>
      <c r="J172" s="4">
        <v>38313151</v>
      </c>
      <c r="K172" s="4">
        <v>-7488081</v>
      </c>
      <c r="L172" s="4">
        <v>36433541</v>
      </c>
      <c r="M172" s="4">
        <v>1125797</v>
      </c>
      <c r="N172" s="4">
        <v>5643836</v>
      </c>
      <c r="O172" s="4">
        <v>20424629</v>
      </c>
      <c r="P172" s="4">
        <f>L172+M172+N172+O172</f>
        <v>63627803</v>
      </c>
      <c r="Q172" s="4">
        <v>63324301</v>
      </c>
      <c r="R172" s="4">
        <f>P172-Q172</f>
        <v>303502</v>
      </c>
      <c r="S172" s="27">
        <v>57021088</v>
      </c>
      <c r="T172" s="27">
        <v>57826827</v>
      </c>
      <c r="U172" s="27">
        <v>62906444</v>
      </c>
      <c r="V172" s="27">
        <v>68357871</v>
      </c>
      <c r="W172" s="27">
        <v>633948</v>
      </c>
      <c r="X172" s="27">
        <v>8510924</v>
      </c>
      <c r="Y172" s="27">
        <v>13342975</v>
      </c>
      <c r="Z172" s="27">
        <v>8289488</v>
      </c>
      <c r="AA172" s="27">
        <f>56169846-X172-Y172-Z172</f>
        <v>26026459</v>
      </c>
      <c r="AB172" s="27">
        <f>X172+Y172+Z172+AA172</f>
        <v>56169846</v>
      </c>
      <c r="AC172" s="27">
        <v>8289488</v>
      </c>
      <c r="AD172" s="27">
        <v>0</v>
      </c>
      <c r="AE172" s="27">
        <f t="shared" si="201"/>
        <v>8289488</v>
      </c>
      <c r="AF172" s="27">
        <v>0</v>
      </c>
      <c r="AG172" s="27">
        <v>1981348</v>
      </c>
      <c r="AH172" s="27">
        <v>1781963</v>
      </c>
      <c r="AI172" s="27">
        <v>793564</v>
      </c>
      <c r="AJ172" s="26">
        <v>41821</v>
      </c>
      <c r="AK172" s="39">
        <v>0</v>
      </c>
      <c r="AL172" s="39">
        <v>19045930</v>
      </c>
      <c r="AM172" s="39">
        <f t="shared" si="202"/>
        <v>19045930</v>
      </c>
      <c r="AN172" s="40">
        <f>AK172/AL172</f>
        <v>0</v>
      </c>
      <c r="AO172" s="40">
        <v>0.04</v>
      </c>
      <c r="AP172" s="40">
        <v>0.04</v>
      </c>
      <c r="AQ172" s="27">
        <f>1158247+642343</f>
        <v>1800590</v>
      </c>
      <c r="AR172" s="27">
        <f>1158500+610934</f>
        <v>1769434</v>
      </c>
      <c r="AS172" s="27">
        <v>0</v>
      </c>
      <c r="AT172" s="27">
        <v>0</v>
      </c>
      <c r="AU172" s="27">
        <v>0</v>
      </c>
      <c r="AV172" s="27">
        <v>140367</v>
      </c>
      <c r="AW172" s="27">
        <v>4306078</v>
      </c>
      <c r="AX172" s="27">
        <f t="shared" si="203"/>
        <v>4446445</v>
      </c>
      <c r="AY172" s="27">
        <v>28372</v>
      </c>
      <c r="AZ172" s="27">
        <v>1545327</v>
      </c>
      <c r="BA172" s="27">
        <v>3922042</v>
      </c>
      <c r="BB172" s="27">
        <v>140367</v>
      </c>
      <c r="BC172" s="27">
        <v>-7753471</v>
      </c>
      <c r="BD172" s="27">
        <f>SUM(AY172:BC172)</f>
        <v>-2117363</v>
      </c>
      <c r="BE172" s="29">
        <f t="shared" si="172"/>
        <v>2.8298792589145347E-2</v>
      </c>
      <c r="BF172" s="29">
        <f t="shared" si="173"/>
        <v>7.6892425724828378E-2</v>
      </c>
      <c r="BG172" s="29">
        <f t="shared" si="174"/>
        <v>0.67308423331856992</v>
      </c>
      <c r="BH172" s="42">
        <f>VLOOKUP(B172,Unemployment!$A$2:$F$193,6,0)</f>
        <v>-0.40000000000000036</v>
      </c>
      <c r="BI172" s="29">
        <f>VLOOKUP(B172,Zillow!$C$11:$R$193,16,0)</f>
        <v>4.571707475799245E-2</v>
      </c>
      <c r="BJ172" s="5"/>
      <c r="BK172" s="6">
        <v>10</v>
      </c>
      <c r="BL172" s="6">
        <v>40</v>
      </c>
      <c r="BM172" s="6">
        <v>30</v>
      </c>
      <c r="BN172" s="6">
        <v>10</v>
      </c>
      <c r="BO172" s="6">
        <v>10</v>
      </c>
      <c r="BP172" s="5"/>
      <c r="BQ172" s="43">
        <v>0.2</v>
      </c>
      <c r="BR172" s="43">
        <v>0.02</v>
      </c>
      <c r="BS172" s="43">
        <v>2.2000000000000002</v>
      </c>
      <c r="BT172" s="44">
        <v>0.02</v>
      </c>
      <c r="BU172" s="43">
        <v>-7.0000000000000007E-2</v>
      </c>
      <c r="BV172" s="5"/>
      <c r="BW172" s="43">
        <v>0.05</v>
      </c>
      <c r="BX172" s="43">
        <v>0.32</v>
      </c>
      <c r="BY172" s="43">
        <v>0.4</v>
      </c>
      <c r="BZ172" s="44">
        <v>0</v>
      </c>
      <c r="CA172" s="43">
        <v>0.03</v>
      </c>
      <c r="CB172" s="5"/>
      <c r="CC172" s="45">
        <f t="shared" si="175"/>
        <v>-1.5000000000000003E-2</v>
      </c>
      <c r="CD172" s="45">
        <f t="shared" si="176"/>
        <v>7.4999999999999997E-3</v>
      </c>
      <c r="CE172" s="45">
        <f t="shared" si="177"/>
        <v>-6.0000000000000012E-2</v>
      </c>
      <c r="CF172" s="46">
        <f t="shared" si="178"/>
        <v>-2E-3</v>
      </c>
      <c r="CG172" s="45">
        <f t="shared" si="179"/>
        <v>0.01</v>
      </c>
      <c r="CH172" s="5"/>
      <c r="CI172" s="44">
        <f t="shared" si="180"/>
        <v>10</v>
      </c>
      <c r="CJ172" s="44">
        <f t="shared" si="181"/>
        <v>7.5856567633104506</v>
      </c>
      <c r="CK172" s="44">
        <f t="shared" si="182"/>
        <v>25.448596111357165</v>
      </c>
      <c r="CL172" s="44">
        <f t="shared" si="183"/>
        <v>10</v>
      </c>
      <c r="CM172" s="44">
        <f t="shared" si="184"/>
        <v>10</v>
      </c>
      <c r="CN172" s="47">
        <f t="shared" si="185"/>
        <v>0</v>
      </c>
      <c r="CO172" s="5"/>
      <c r="CP172" s="47">
        <f t="shared" si="186"/>
        <v>3.5798792589145347E-2</v>
      </c>
      <c r="CQ172" s="47">
        <f t="shared" si="187"/>
        <v>1.910757427517161E-2</v>
      </c>
      <c r="CR172" s="47">
        <f t="shared" si="188"/>
        <v>1.3930842333185702</v>
      </c>
      <c r="CS172" s="47">
        <f t="shared" si="189"/>
        <v>0.40000000000000036</v>
      </c>
      <c r="CT172" s="47">
        <f t="shared" si="190"/>
        <v>4.2717074757992447E-2</v>
      </c>
      <c r="CU172" s="47">
        <f t="shared" si="191"/>
        <v>1.89070767494088</v>
      </c>
    </row>
    <row r="173" spans="1:99" ht="15" customHeight="1">
      <c r="A173" s="5"/>
      <c r="B173" s="37" t="s">
        <v>66</v>
      </c>
      <c r="C173" s="37" t="s">
        <v>252</v>
      </c>
      <c r="D173" s="37" t="s">
        <v>255</v>
      </c>
      <c r="E173" s="26">
        <v>42551</v>
      </c>
      <c r="F173" s="38">
        <f t="shared" si="170"/>
        <v>70.131890842104156</v>
      </c>
      <c r="G173" s="4">
        <v>14388763</v>
      </c>
      <c r="H173" s="4">
        <v>11497132</v>
      </c>
      <c r="I173" s="4">
        <v>106220571</v>
      </c>
      <c r="J173" s="4">
        <v>61722894</v>
      </c>
      <c r="K173" s="4">
        <v>1385690</v>
      </c>
      <c r="L173" s="4">
        <v>44347260</v>
      </c>
      <c r="M173" s="4">
        <v>2938703</v>
      </c>
      <c r="N173" s="4">
        <v>2182681</v>
      </c>
      <c r="O173" s="4">
        <v>4380548</v>
      </c>
      <c r="P173" s="4">
        <f>L173+M173+N173+O173</f>
        <v>53849192</v>
      </c>
      <c r="Q173" s="4">
        <v>50016638</v>
      </c>
      <c r="R173" s="37" t="s">
        <v>319</v>
      </c>
      <c r="S173" s="27">
        <v>48957985</v>
      </c>
      <c r="T173" s="27">
        <v>47701238</v>
      </c>
      <c r="U173" s="27">
        <v>54102089</v>
      </c>
      <c r="V173" s="27">
        <v>61789380</v>
      </c>
      <c r="W173" s="27">
        <v>720261</v>
      </c>
      <c r="X173" s="27">
        <v>2089694</v>
      </c>
      <c r="Y173" s="27">
        <v>4840332</v>
      </c>
      <c r="Z173" s="27">
        <v>5354355</v>
      </c>
      <c r="AA173" s="27">
        <v>22210374</v>
      </c>
      <c r="AB173" s="27">
        <f>SUM(X173:AA173)</f>
        <v>34494755</v>
      </c>
      <c r="AC173" s="27">
        <v>5354355</v>
      </c>
      <c r="AD173" s="27">
        <v>0</v>
      </c>
      <c r="AE173" s="27">
        <f t="shared" si="201"/>
        <v>5354355</v>
      </c>
      <c r="AF173" s="27">
        <v>0</v>
      </c>
      <c r="AG173" s="27">
        <v>1811158</v>
      </c>
      <c r="AH173" s="27">
        <v>1793541</v>
      </c>
      <c r="AI173" s="27">
        <v>1149360</v>
      </c>
      <c r="AJ173" s="26">
        <v>42186</v>
      </c>
      <c r="AK173" s="39">
        <v>2865396</v>
      </c>
      <c r="AL173" s="39">
        <v>18908708</v>
      </c>
      <c r="AM173" s="39">
        <v>16043312</v>
      </c>
      <c r="AN173" s="40">
        <v>0.15</v>
      </c>
      <c r="AO173" s="40">
        <v>6.7500000000000004E-2</v>
      </c>
      <c r="AP173" s="40">
        <v>2.5999999999999999E-2</v>
      </c>
      <c r="AQ173" s="27">
        <v>940430</v>
      </c>
      <c r="AR173" s="27">
        <v>940430</v>
      </c>
      <c r="AS173" s="27">
        <v>83638</v>
      </c>
      <c r="AT173" s="27">
        <v>0</v>
      </c>
      <c r="AU173" s="27">
        <v>0</v>
      </c>
      <c r="AV173" s="27">
        <v>1435596</v>
      </c>
      <c r="AW173" s="27">
        <v>4867473</v>
      </c>
      <c r="AX173" s="27">
        <f t="shared" si="203"/>
        <v>6386707</v>
      </c>
      <c r="AY173" s="27">
        <v>381923</v>
      </c>
      <c r="AZ173" s="27">
        <v>559233</v>
      </c>
      <c r="BA173" s="27">
        <v>1431673</v>
      </c>
      <c r="BB173" s="27">
        <v>1435596</v>
      </c>
      <c r="BC173" s="27">
        <v>-941035</v>
      </c>
      <c r="BD173" s="27">
        <f>AY173+AZ173+BA173+BB173+BC173</f>
        <v>2867390</v>
      </c>
      <c r="BE173" s="29">
        <f t="shared" si="172"/>
        <v>1.7464143194571981E-2</v>
      </c>
      <c r="BF173" s="29">
        <f t="shared" si="173"/>
        <v>0.13388975355314678</v>
      </c>
      <c r="BG173" s="29">
        <f t="shared" si="174"/>
        <v>0.55069392684666463</v>
      </c>
      <c r="BH173" s="42">
        <f>VLOOKUP(B173,Unemployment!$A$2:$F$193,6,0)</f>
        <v>-0.5</v>
      </c>
      <c r="BI173" s="29">
        <f>VLOOKUP(B173,Zillow!$C$11:$R$193,16,0)</f>
        <v>4.5815581579566602E-3</v>
      </c>
      <c r="BJ173" s="5"/>
      <c r="BK173" s="6">
        <v>10</v>
      </c>
      <c r="BL173" s="6">
        <v>40</v>
      </c>
      <c r="BM173" s="6">
        <v>30</v>
      </c>
      <c r="BN173" s="6">
        <v>10</v>
      </c>
      <c r="BO173" s="6">
        <v>10</v>
      </c>
      <c r="BP173" s="5"/>
      <c r="BQ173" s="43">
        <v>0.2</v>
      </c>
      <c r="BR173" s="43">
        <v>0.02</v>
      </c>
      <c r="BS173" s="43">
        <v>2.2000000000000002</v>
      </c>
      <c r="BT173" s="44">
        <v>0.02</v>
      </c>
      <c r="BU173" s="43">
        <v>-7.0000000000000007E-2</v>
      </c>
      <c r="BV173" s="5"/>
      <c r="BW173" s="43">
        <v>0.05</v>
      </c>
      <c r="BX173" s="43">
        <v>0.32</v>
      </c>
      <c r="BY173" s="43">
        <v>0.4</v>
      </c>
      <c r="BZ173" s="44">
        <v>0</v>
      </c>
      <c r="CA173" s="43">
        <v>0.03</v>
      </c>
      <c r="CB173" s="5"/>
      <c r="CC173" s="45">
        <f t="shared" si="175"/>
        <v>-1.5000000000000003E-2</v>
      </c>
      <c r="CD173" s="45">
        <f t="shared" si="176"/>
        <v>7.4999999999999997E-3</v>
      </c>
      <c r="CE173" s="45">
        <f t="shared" si="177"/>
        <v>-6.0000000000000012E-2</v>
      </c>
      <c r="CF173" s="46">
        <f t="shared" si="178"/>
        <v>-2E-3</v>
      </c>
      <c r="CG173" s="45">
        <f t="shared" si="179"/>
        <v>0.01</v>
      </c>
      <c r="CH173" s="5"/>
      <c r="CI173" s="44">
        <f t="shared" si="180"/>
        <v>10</v>
      </c>
      <c r="CJ173" s="44">
        <f t="shared" si="181"/>
        <v>15.185300473752903</v>
      </c>
      <c r="CK173" s="44">
        <f t="shared" si="182"/>
        <v>27.488434552555589</v>
      </c>
      <c r="CL173" s="44">
        <f t="shared" si="183"/>
        <v>10</v>
      </c>
      <c r="CM173" s="44">
        <f t="shared" si="184"/>
        <v>7.4581558157956662</v>
      </c>
      <c r="CN173" s="47">
        <f t="shared" si="185"/>
        <v>0</v>
      </c>
      <c r="CO173" s="5"/>
      <c r="CP173" s="47">
        <f t="shared" si="186"/>
        <v>2.4964143194571985E-2</v>
      </c>
      <c r="CQ173" s="47">
        <f t="shared" si="187"/>
        <v>3.788975355314679E-2</v>
      </c>
      <c r="CR173" s="47">
        <f t="shared" si="188"/>
        <v>1.2706939268466648</v>
      </c>
      <c r="CS173" s="47">
        <f t="shared" si="189"/>
        <v>0.5</v>
      </c>
      <c r="CT173" s="47">
        <f t="shared" si="190"/>
        <v>1.5815581579566606E-3</v>
      </c>
      <c r="CU173" s="47">
        <f t="shared" si="191"/>
        <v>1.8351293817523402</v>
      </c>
    </row>
    <row r="174" spans="1:99" ht="15" customHeight="1">
      <c r="A174" s="5"/>
      <c r="B174" s="37" t="s">
        <v>98</v>
      </c>
      <c r="C174" s="37" t="s">
        <v>252</v>
      </c>
      <c r="D174" s="37" t="s">
        <v>255</v>
      </c>
      <c r="E174" s="26">
        <v>42551</v>
      </c>
      <c r="F174" s="38">
        <f t="shared" si="170"/>
        <v>74.870535219864479</v>
      </c>
      <c r="G174" s="4">
        <v>8937667</v>
      </c>
      <c r="H174" s="4">
        <v>1134204</v>
      </c>
      <c r="I174" s="4">
        <v>32192994</v>
      </c>
      <c r="J174" s="4">
        <v>18122140</v>
      </c>
      <c r="K174" s="4">
        <v>311932</v>
      </c>
      <c r="L174" s="4">
        <v>30134718</v>
      </c>
      <c r="M174" s="4">
        <v>834265</v>
      </c>
      <c r="N174" s="4">
        <v>1351590</v>
      </c>
      <c r="O174" s="4">
        <v>1271369</v>
      </c>
      <c r="P174" s="4">
        <f>SUM(L174:O174)</f>
        <v>33591942</v>
      </c>
      <c r="Q174" s="4">
        <v>33777177</v>
      </c>
      <c r="R174" s="4">
        <f>P174-Q174</f>
        <v>-185235</v>
      </c>
      <c r="S174" s="27">
        <v>32246988</v>
      </c>
      <c r="T174" s="27">
        <v>31499437</v>
      </c>
      <c r="U174" s="27">
        <v>33452786</v>
      </c>
      <c r="V174" s="27">
        <v>33474166</v>
      </c>
      <c r="W174" s="27">
        <v>450192</v>
      </c>
      <c r="X174" s="27">
        <v>470202</v>
      </c>
      <c r="Y174" s="27">
        <v>5838109</v>
      </c>
      <c r="Z174" s="27">
        <v>1185938</v>
      </c>
      <c r="AA174" s="27">
        <f>14134667-Z174-Y174-X174</f>
        <v>6640418</v>
      </c>
      <c r="AB174" s="27">
        <f>X174+Y174+Z174+AA174</f>
        <v>14134667</v>
      </c>
      <c r="AC174" s="27">
        <v>1185938</v>
      </c>
      <c r="AD174" s="27">
        <v>0</v>
      </c>
      <c r="AE174" s="27">
        <f t="shared" si="201"/>
        <v>1185938</v>
      </c>
      <c r="AF174" s="27">
        <v>0</v>
      </c>
      <c r="AG174" s="27">
        <v>497543</v>
      </c>
      <c r="AH174" s="27">
        <v>482784</v>
      </c>
      <c r="AI174" s="27">
        <v>180292</v>
      </c>
      <c r="AJ174" s="26">
        <v>42552</v>
      </c>
      <c r="AK174" s="39">
        <v>0</v>
      </c>
      <c r="AL174" s="39">
        <v>6846302</v>
      </c>
      <c r="AM174" s="39">
        <f>AL174-AK174</f>
        <v>6846302</v>
      </c>
      <c r="AN174" s="40">
        <f>AK174/AL174</f>
        <v>0</v>
      </c>
      <c r="AO174" s="40">
        <v>0.04</v>
      </c>
      <c r="AP174" s="50" t="s">
        <v>320</v>
      </c>
      <c r="AQ174" s="27">
        <v>469632</v>
      </c>
      <c r="AR174" s="27">
        <v>469632</v>
      </c>
      <c r="AS174" s="27">
        <v>0</v>
      </c>
      <c r="AT174" s="27">
        <v>0</v>
      </c>
      <c r="AU174" s="27">
        <v>0</v>
      </c>
      <c r="AV174" s="27">
        <v>504224</v>
      </c>
      <c r="AW174" s="27">
        <v>3884608</v>
      </c>
      <c r="AX174" s="27">
        <f t="shared" si="203"/>
        <v>4388832</v>
      </c>
      <c r="AY174" s="27">
        <v>300987</v>
      </c>
      <c r="AZ174" s="27">
        <v>998317</v>
      </c>
      <c r="BA174" s="27">
        <v>2957096</v>
      </c>
      <c r="BB174" s="27">
        <v>504224</v>
      </c>
      <c r="BC174" s="27">
        <v>3884608</v>
      </c>
      <c r="BD174" s="27">
        <f>AY174+AZ174+BA174+BB174+BC174</f>
        <v>8645232</v>
      </c>
      <c r="BE174" s="29">
        <f t="shared" si="172"/>
        <v>1.3980495679588872E-2</v>
      </c>
      <c r="BF174" s="29">
        <f t="shared" si="173"/>
        <v>0.13933049025606395</v>
      </c>
      <c r="BG174" s="29">
        <f t="shared" si="174"/>
        <v>0.24698060028800956</v>
      </c>
      <c r="BH174" s="42">
        <f>VLOOKUP(B174,Unemployment!$A$2:$F$193,6,0)</f>
        <v>-0.39999999999999991</v>
      </c>
      <c r="BI174" s="29">
        <f>VLOOKUP(B174,Zillow!$C$11:$R$193,16,0)</f>
        <v>1.9598031857226254E-2</v>
      </c>
      <c r="BJ174" s="5"/>
      <c r="BK174" s="6">
        <v>10</v>
      </c>
      <c r="BL174" s="6">
        <v>40</v>
      </c>
      <c r="BM174" s="6">
        <v>30</v>
      </c>
      <c r="BN174" s="6">
        <v>10</v>
      </c>
      <c r="BO174" s="6">
        <v>10</v>
      </c>
      <c r="BP174" s="5"/>
      <c r="BQ174" s="43">
        <v>0.2</v>
      </c>
      <c r="BR174" s="43">
        <v>0.02</v>
      </c>
      <c r="BS174" s="43">
        <v>2.2000000000000002</v>
      </c>
      <c r="BT174" s="44">
        <v>0.02</v>
      </c>
      <c r="BU174" s="43">
        <v>-7.0000000000000007E-2</v>
      </c>
      <c r="BV174" s="5"/>
      <c r="BW174" s="43">
        <v>0.05</v>
      </c>
      <c r="BX174" s="43">
        <v>0.32</v>
      </c>
      <c r="BY174" s="43">
        <v>0.4</v>
      </c>
      <c r="BZ174" s="44">
        <v>0</v>
      </c>
      <c r="CA174" s="43">
        <v>0.03</v>
      </c>
      <c r="CB174" s="5"/>
      <c r="CC174" s="45">
        <f t="shared" si="175"/>
        <v>-1.5000000000000003E-2</v>
      </c>
      <c r="CD174" s="45">
        <f t="shared" si="176"/>
        <v>7.4999999999999997E-3</v>
      </c>
      <c r="CE174" s="45">
        <f t="shared" si="177"/>
        <v>-6.0000000000000012E-2</v>
      </c>
      <c r="CF174" s="46">
        <f t="shared" si="178"/>
        <v>-2E-3</v>
      </c>
      <c r="CG174" s="45">
        <f t="shared" si="179"/>
        <v>0.01</v>
      </c>
      <c r="CH174" s="5"/>
      <c r="CI174" s="44">
        <f t="shared" si="180"/>
        <v>10</v>
      </c>
      <c r="CJ174" s="44">
        <f t="shared" si="181"/>
        <v>15.91073203414186</v>
      </c>
      <c r="CK174" s="44">
        <f t="shared" si="182"/>
        <v>30</v>
      </c>
      <c r="CL174" s="44">
        <f t="shared" si="183"/>
        <v>10</v>
      </c>
      <c r="CM174" s="44">
        <f t="shared" si="184"/>
        <v>8.9598031857226257</v>
      </c>
      <c r="CN174" s="47">
        <f t="shared" si="185"/>
        <v>0</v>
      </c>
      <c r="CO174" s="5"/>
      <c r="CP174" s="47">
        <f t="shared" si="186"/>
        <v>2.1480495679588874E-2</v>
      </c>
      <c r="CQ174" s="47">
        <f t="shared" si="187"/>
        <v>4.3330490256063961E-2</v>
      </c>
      <c r="CR174" s="47">
        <f t="shared" si="188"/>
        <v>0.9669806002880097</v>
      </c>
      <c r="CS174" s="47">
        <f t="shared" si="189"/>
        <v>0.39999999999999991</v>
      </c>
      <c r="CT174" s="47">
        <f t="shared" si="190"/>
        <v>1.6598031857226254E-2</v>
      </c>
      <c r="CU174" s="47">
        <f t="shared" si="191"/>
        <v>1.4483896180808888</v>
      </c>
    </row>
    <row r="175" spans="1:99" ht="15" customHeight="1">
      <c r="A175" s="5"/>
      <c r="B175" s="37" t="s">
        <v>114</v>
      </c>
      <c r="C175" s="37" t="s">
        <v>252</v>
      </c>
      <c r="D175" s="37" t="s">
        <v>255</v>
      </c>
      <c r="E175" s="26">
        <v>42551</v>
      </c>
      <c r="F175" s="38">
        <f t="shared" si="170"/>
        <v>76.761625336414809</v>
      </c>
      <c r="G175" s="4">
        <v>12884543</v>
      </c>
      <c r="H175" s="4">
        <v>1953658</v>
      </c>
      <c r="I175" s="4">
        <v>39340008</v>
      </c>
      <c r="J175" s="4">
        <v>28256964</v>
      </c>
      <c r="K175" s="4">
        <v>927147</v>
      </c>
      <c r="L175" s="4">
        <v>15903026</v>
      </c>
      <c r="M175" s="4">
        <v>901340</v>
      </c>
      <c r="N175" s="4">
        <v>1394970</v>
      </c>
      <c r="O175" s="4">
        <v>7776569</v>
      </c>
      <c r="P175" s="4">
        <f>L175+M175+N175+O175</f>
        <v>25975905</v>
      </c>
      <c r="Q175" s="4">
        <v>25842594</v>
      </c>
      <c r="R175" s="37" t="s">
        <v>321</v>
      </c>
      <c r="S175" s="27">
        <v>23627875</v>
      </c>
      <c r="T175" s="27">
        <v>23446748</v>
      </c>
      <c r="U175" s="27">
        <v>25660150</v>
      </c>
      <c r="V175" s="27">
        <v>26718581</v>
      </c>
      <c r="W175" s="27">
        <v>-684496</v>
      </c>
      <c r="X175" s="27">
        <v>572765</v>
      </c>
      <c r="Y175" s="27">
        <v>1046736</v>
      </c>
      <c r="Z175" s="27">
        <v>4138677</v>
      </c>
      <c r="AA175" s="27">
        <v>3450653</v>
      </c>
      <c r="AB175" s="27">
        <f>SUM(X175:AA175)</f>
        <v>9208831</v>
      </c>
      <c r="AC175" s="27">
        <v>4138677</v>
      </c>
      <c r="AD175" s="27">
        <v>0</v>
      </c>
      <c r="AE175" s="27">
        <f t="shared" si="201"/>
        <v>4138677</v>
      </c>
      <c r="AF175" s="27">
        <v>0</v>
      </c>
      <c r="AG175" s="27">
        <v>550313</v>
      </c>
      <c r="AH175" s="27">
        <v>518411</v>
      </c>
      <c r="AI175" s="27">
        <v>67981</v>
      </c>
      <c r="AJ175" s="26">
        <v>41820</v>
      </c>
      <c r="AK175" s="39">
        <v>0</v>
      </c>
      <c r="AL175" s="39">
        <v>8435837</v>
      </c>
      <c r="AM175" s="39">
        <v>8435837</v>
      </c>
      <c r="AN175" s="40">
        <v>0</v>
      </c>
      <c r="AO175" s="40">
        <v>4.4999999999999998E-2</v>
      </c>
      <c r="AP175" s="40">
        <v>1.0699999999999999E-2</v>
      </c>
      <c r="AQ175" s="27">
        <v>215656</v>
      </c>
      <c r="AR175" s="27">
        <v>215656</v>
      </c>
      <c r="AS175" s="27">
        <v>0</v>
      </c>
      <c r="AT175" s="27">
        <v>0</v>
      </c>
      <c r="AU175" s="27">
        <v>0</v>
      </c>
      <c r="AV175" s="27">
        <v>169419</v>
      </c>
      <c r="AW175" s="27">
        <v>3247058</v>
      </c>
      <c r="AX175" s="27">
        <f t="shared" si="203"/>
        <v>3416477</v>
      </c>
      <c r="AY175" s="27">
        <v>19517</v>
      </c>
      <c r="AZ175" s="27">
        <v>4560801</v>
      </c>
      <c r="BA175" s="27">
        <v>1523512</v>
      </c>
      <c r="BB175" s="27">
        <v>398335</v>
      </c>
      <c r="BC175" s="27">
        <v>2603614</v>
      </c>
      <c r="BD175" s="27">
        <f>AY175+AZ175+BA175+BB175+BC175</f>
        <v>9105779</v>
      </c>
      <c r="BE175" s="29">
        <f t="shared" si="172"/>
        <v>8.3021554013228797E-3</v>
      </c>
      <c r="BF175" s="29">
        <f t="shared" si="173"/>
        <v>0.14571219002311109</v>
      </c>
      <c r="BG175" s="29">
        <f t="shared" si="174"/>
        <v>0.31421792618967465</v>
      </c>
      <c r="BH175" s="42">
        <f>VLOOKUP(B175,Unemployment!$A$2:$F$193,6,0)</f>
        <v>-0.5</v>
      </c>
      <c r="BI175" s="29">
        <f>VLOOKUP(B175,Zillow!$C$11:$R$193,16,0)</f>
        <v>5.0834569027793708E-2</v>
      </c>
      <c r="BJ175" s="5"/>
      <c r="BK175" s="6">
        <v>10</v>
      </c>
      <c r="BL175" s="6">
        <v>40</v>
      </c>
      <c r="BM175" s="6">
        <v>30</v>
      </c>
      <c r="BN175" s="6">
        <v>10</v>
      </c>
      <c r="BO175" s="6">
        <v>10</v>
      </c>
      <c r="BP175" s="5"/>
      <c r="BQ175" s="43">
        <v>0.2</v>
      </c>
      <c r="BR175" s="43">
        <v>0.02</v>
      </c>
      <c r="BS175" s="43">
        <v>2.2000000000000002</v>
      </c>
      <c r="BT175" s="44">
        <v>0.02</v>
      </c>
      <c r="BU175" s="43">
        <v>-7.0000000000000007E-2</v>
      </c>
      <c r="BV175" s="5"/>
      <c r="BW175" s="43">
        <v>0.05</v>
      </c>
      <c r="BX175" s="43">
        <v>0.32</v>
      </c>
      <c r="BY175" s="43">
        <v>0.4</v>
      </c>
      <c r="BZ175" s="44">
        <v>0</v>
      </c>
      <c r="CA175" s="43">
        <v>0.03</v>
      </c>
      <c r="CB175" s="5"/>
      <c r="CC175" s="45">
        <f t="shared" si="175"/>
        <v>-1.5000000000000003E-2</v>
      </c>
      <c r="CD175" s="45">
        <f t="shared" si="176"/>
        <v>7.4999999999999997E-3</v>
      </c>
      <c r="CE175" s="45">
        <f t="shared" si="177"/>
        <v>-6.0000000000000012E-2</v>
      </c>
      <c r="CF175" s="46">
        <f t="shared" si="178"/>
        <v>-2E-3</v>
      </c>
      <c r="CG175" s="45">
        <f t="shared" si="179"/>
        <v>0.01</v>
      </c>
      <c r="CH175" s="5"/>
      <c r="CI175" s="44">
        <f t="shared" si="180"/>
        <v>10</v>
      </c>
      <c r="CJ175" s="44">
        <f t="shared" si="181"/>
        <v>16.761625336414813</v>
      </c>
      <c r="CK175" s="44">
        <f t="shared" si="182"/>
        <v>30</v>
      </c>
      <c r="CL175" s="44">
        <f t="shared" si="183"/>
        <v>10</v>
      </c>
      <c r="CM175" s="44">
        <f t="shared" si="184"/>
        <v>10</v>
      </c>
      <c r="CN175" s="47">
        <f t="shared" si="185"/>
        <v>0</v>
      </c>
      <c r="CO175" s="5"/>
      <c r="CP175" s="47">
        <f t="shared" si="186"/>
        <v>1.5802155401322883E-2</v>
      </c>
      <c r="CQ175" s="47">
        <f t="shared" si="187"/>
        <v>4.97121900231111E-2</v>
      </c>
      <c r="CR175" s="47">
        <f t="shared" si="188"/>
        <v>1.0342179261896749</v>
      </c>
      <c r="CS175" s="47">
        <f t="shared" si="189"/>
        <v>0.5</v>
      </c>
      <c r="CT175" s="47">
        <f t="shared" si="190"/>
        <v>4.7834569027793705E-2</v>
      </c>
      <c r="CU175" s="47">
        <f t="shared" si="191"/>
        <v>1.6475668406419026</v>
      </c>
    </row>
    <row r="176" spans="1:99" ht="15" customHeight="1">
      <c r="A176" s="5"/>
      <c r="B176" s="5"/>
      <c r="C176" s="5"/>
      <c r="D176" s="5"/>
      <c r="E176" s="20"/>
      <c r="F176" s="20"/>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0"/>
      <c r="AK176" s="20"/>
      <c r="AL176" s="20"/>
      <c r="AM176" s="20"/>
      <c r="AN176" s="20"/>
      <c r="AO176" s="20"/>
      <c r="AP176" s="20"/>
      <c r="AQ176" s="27"/>
      <c r="AR176" s="27"/>
      <c r="AS176" s="27"/>
      <c r="AT176" s="27"/>
      <c r="AU176" s="27"/>
      <c r="AV176" s="27"/>
      <c r="AW176" s="27"/>
      <c r="AX176" s="27"/>
      <c r="AY176" s="27"/>
      <c r="AZ176" s="27"/>
      <c r="BA176" s="27"/>
      <c r="BB176" s="27"/>
      <c r="BC176" s="27"/>
      <c r="BD176" s="27"/>
      <c r="BE176" s="20"/>
      <c r="BF176" s="20"/>
      <c r="BG176" s="20"/>
      <c r="BH176" s="20"/>
      <c r="BI176" s="20"/>
      <c r="BJ176" s="20"/>
      <c r="BK176" s="20"/>
      <c r="BL176" s="20"/>
      <c r="BM176" s="20"/>
      <c r="BN176" s="20"/>
      <c r="BO176" s="20"/>
      <c r="BP176" s="20"/>
      <c r="BQ176" s="30"/>
      <c r="BR176" s="30"/>
      <c r="BS176" s="30"/>
      <c r="BT176" s="31"/>
      <c r="BU176" s="30"/>
      <c r="BV176" s="20"/>
      <c r="BW176" s="30"/>
      <c r="BX176" s="30"/>
      <c r="BY176" s="30"/>
      <c r="BZ176" s="31"/>
      <c r="CA176" s="30"/>
      <c r="CB176" s="20"/>
      <c r="CC176" s="29"/>
      <c r="CD176" s="29"/>
      <c r="CE176" s="29"/>
      <c r="CF176" s="32"/>
      <c r="CG176" s="29"/>
      <c r="CH176" s="20"/>
      <c r="CI176" s="31"/>
      <c r="CJ176" s="31"/>
      <c r="CK176" s="31"/>
      <c r="CL176" s="31"/>
      <c r="CM176" s="31"/>
      <c r="CN176" s="33"/>
      <c r="CO176" s="20"/>
      <c r="CP176" s="33"/>
      <c r="CQ176" s="33"/>
      <c r="CR176" s="33"/>
      <c r="CS176" s="33"/>
      <c r="CT176" s="33"/>
      <c r="CU176" s="33"/>
    </row>
    <row r="177" spans="1:99" ht="15" customHeight="1">
      <c r="A177" s="5"/>
      <c r="B177" s="59" t="s">
        <v>322</v>
      </c>
      <c r="C177" s="5"/>
      <c r="D177" s="5"/>
      <c r="E177" s="20"/>
      <c r="F177" s="20"/>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0"/>
      <c r="AK177" s="20"/>
      <c r="AL177" s="20"/>
      <c r="AM177" s="20"/>
      <c r="AN177" s="20"/>
      <c r="AO177" s="20"/>
      <c r="AP177" s="20"/>
      <c r="AQ177" s="27"/>
      <c r="AR177" s="27"/>
      <c r="AS177" s="27"/>
      <c r="AT177" s="27"/>
      <c r="AU177" s="27"/>
      <c r="AV177" s="27"/>
      <c r="AW177" s="27"/>
      <c r="AX177" s="27"/>
      <c r="AY177" s="27"/>
      <c r="AZ177" s="27"/>
      <c r="BA177" s="27"/>
      <c r="BB177" s="27"/>
      <c r="BC177" s="27"/>
      <c r="BD177" s="27"/>
      <c r="BE177" s="20"/>
      <c r="BF177" s="20"/>
      <c r="BG177" s="20"/>
      <c r="BH177" s="20"/>
      <c r="BI177" s="20"/>
      <c r="BJ177" s="20"/>
      <c r="BK177" s="20"/>
      <c r="BL177" s="20"/>
      <c r="BM177" s="20"/>
      <c r="BN177" s="20"/>
      <c r="BO177" s="20"/>
      <c r="BP177" s="20"/>
      <c r="BQ177" s="30"/>
      <c r="BR177" s="30"/>
      <c r="BS177" s="30"/>
      <c r="BT177" s="31"/>
      <c r="BU177" s="30"/>
      <c r="BV177" s="20"/>
      <c r="BW177" s="30"/>
      <c r="BX177" s="30"/>
      <c r="BY177" s="30"/>
      <c r="BZ177" s="31"/>
      <c r="CA177" s="30"/>
      <c r="CB177" s="20"/>
      <c r="CC177" s="29"/>
      <c r="CD177" s="29"/>
      <c r="CE177" s="29"/>
      <c r="CF177" s="32"/>
      <c r="CG177" s="29"/>
      <c r="CH177" s="20"/>
      <c r="CI177" s="31"/>
      <c r="CJ177" s="31"/>
      <c r="CK177" s="31"/>
      <c r="CL177" s="31"/>
      <c r="CM177" s="31"/>
      <c r="CN177" s="33"/>
      <c r="CO177" s="20"/>
      <c r="CP177" s="33"/>
      <c r="CQ177" s="33"/>
      <c r="CR177" s="33"/>
      <c r="CS177" s="33"/>
      <c r="CT177" s="33"/>
      <c r="CU177" s="33"/>
    </row>
    <row r="178" spans="1:99" ht="15" customHeight="1">
      <c r="A178" s="5"/>
      <c r="B178" s="37" t="s">
        <v>252</v>
      </c>
      <c r="C178" s="37" t="s">
        <v>252</v>
      </c>
      <c r="D178" s="37" t="s">
        <v>322</v>
      </c>
      <c r="E178" s="26">
        <v>42551</v>
      </c>
      <c r="F178" s="26"/>
      <c r="G178" s="4">
        <v>5457689000</v>
      </c>
      <c r="H178" s="4">
        <v>5215149000</v>
      </c>
      <c r="I178" s="4">
        <v>27085274000</v>
      </c>
      <c r="J178" s="4">
        <v>-37858651000</v>
      </c>
      <c r="K178" s="4">
        <v>-49250915000</v>
      </c>
      <c r="L178" s="4">
        <v>17024745000</v>
      </c>
      <c r="M178" s="4">
        <v>784935000</v>
      </c>
      <c r="N178" s="4">
        <v>4816925000</v>
      </c>
      <c r="O178" s="4">
        <v>7773572000</v>
      </c>
      <c r="P178" s="4">
        <v>30400177000</v>
      </c>
      <c r="Q178" s="4">
        <v>32877502000</v>
      </c>
      <c r="R178" s="4">
        <v>-2477325000</v>
      </c>
      <c r="S178" s="27">
        <v>18214714000</v>
      </c>
      <c r="T178" s="27">
        <v>17443713000</v>
      </c>
      <c r="U178" s="27">
        <v>26815811000</v>
      </c>
      <c r="V178" s="27">
        <v>28622502000</v>
      </c>
      <c r="W178" s="27">
        <v>-424167000</v>
      </c>
      <c r="X178" s="27">
        <v>2255277000</v>
      </c>
      <c r="Y178" s="27">
        <v>27459972000</v>
      </c>
      <c r="Z178" s="27">
        <v>9927951000</v>
      </c>
      <c r="AA178" s="27">
        <v>23558170000</v>
      </c>
      <c r="AB178" s="27">
        <v>63201370000</v>
      </c>
      <c r="AC178" s="27">
        <v>9990262000</v>
      </c>
      <c r="AD178" s="27">
        <v>0</v>
      </c>
      <c r="AE178" s="27">
        <v>9990262000</v>
      </c>
      <c r="AF178" s="27">
        <v>0</v>
      </c>
      <c r="AG178" s="27">
        <v>1574047000</v>
      </c>
      <c r="AH178" s="27">
        <v>1573579000</v>
      </c>
      <c r="AI178" s="27">
        <v>566244000</v>
      </c>
      <c r="AJ178" s="28">
        <v>42551</v>
      </c>
      <c r="AK178" s="27">
        <v>229600000</v>
      </c>
      <c r="AL178" s="27">
        <v>22117100000</v>
      </c>
      <c r="AM178" s="27">
        <v>21887500000</v>
      </c>
      <c r="AN178" s="29">
        <v>1.2E-2</v>
      </c>
      <c r="AO178" s="2" t="s">
        <v>323</v>
      </c>
      <c r="AP178" s="2" t="s">
        <v>324</v>
      </c>
      <c r="AQ178" s="27">
        <v>2373492000</v>
      </c>
      <c r="AR178" s="27">
        <v>2373492000</v>
      </c>
      <c r="AS178" s="27">
        <v>52541000</v>
      </c>
      <c r="AT178" s="27">
        <v>0</v>
      </c>
      <c r="AU178" s="27">
        <v>332142000</v>
      </c>
      <c r="AV178" s="27">
        <v>0</v>
      </c>
      <c r="AW178" s="27">
        <v>-998872000</v>
      </c>
      <c r="AX178" s="27">
        <v>-614189000</v>
      </c>
      <c r="AY178" s="27">
        <v>191797000</v>
      </c>
      <c r="AZ178" s="27">
        <v>2280105000</v>
      </c>
      <c r="BA178" s="27">
        <v>354752000</v>
      </c>
      <c r="BB178" s="27">
        <v>24915000</v>
      </c>
      <c r="BC178" s="27">
        <v>-1007549000</v>
      </c>
      <c r="BD178" s="27">
        <v>1844020000</v>
      </c>
      <c r="BE178" s="29">
        <f>AQ178/P178</f>
        <v>7.8074940155776068E-2</v>
      </c>
      <c r="BF178" s="29">
        <f>AX178/T178</f>
        <v>-3.5209762967322381E-2</v>
      </c>
      <c r="BG178" s="29">
        <f>(AB178-Y178)/P178</f>
        <v>1.1756970362376509</v>
      </c>
      <c r="BH178" s="20"/>
      <c r="BI178" s="20"/>
      <c r="BJ178" s="5"/>
      <c r="BK178" s="5"/>
      <c r="BL178" s="5"/>
      <c r="BM178" s="5"/>
      <c r="BN178" s="5"/>
      <c r="BO178" s="5"/>
      <c r="BP178" s="5"/>
      <c r="BQ178" s="43"/>
      <c r="BR178" s="43"/>
      <c r="BS178" s="43"/>
      <c r="BT178" s="44"/>
      <c r="BU178" s="43"/>
      <c r="BV178" s="5"/>
      <c r="BW178" s="43"/>
      <c r="BX178" s="43"/>
      <c r="BY178" s="43"/>
      <c r="BZ178" s="44"/>
      <c r="CA178" s="43"/>
      <c r="CB178" s="5"/>
      <c r="CC178" s="45"/>
      <c r="CD178" s="45"/>
      <c r="CE178" s="45"/>
      <c r="CF178" s="46"/>
      <c r="CG178" s="45"/>
      <c r="CH178" s="5"/>
      <c r="CI178" s="44"/>
      <c r="CJ178" s="44"/>
      <c r="CK178" s="44"/>
      <c r="CL178" s="44"/>
      <c r="CM178" s="44"/>
      <c r="CN178" s="47"/>
      <c r="CO178" s="5"/>
      <c r="CP178" s="47"/>
      <c r="CQ178" s="47"/>
      <c r="CR178" s="47"/>
      <c r="CS178" s="47"/>
      <c r="CT178" s="47"/>
      <c r="CU178" s="47"/>
    </row>
    <row r="179" spans="1:99" ht="15" customHeight="1">
      <c r="A179" s="5"/>
      <c r="B179" s="5"/>
      <c r="C179" s="5"/>
      <c r="D179" s="5"/>
      <c r="E179" s="20"/>
      <c r="F179" s="20"/>
      <c r="G179" s="5"/>
      <c r="H179" s="5"/>
      <c r="I179" s="5"/>
      <c r="J179" s="5"/>
      <c r="K179" s="5"/>
      <c r="L179" s="5"/>
      <c r="M179" s="5"/>
      <c r="N179" s="5"/>
      <c r="O179" s="5"/>
      <c r="P179" s="5"/>
      <c r="Q179" s="5"/>
      <c r="R179" s="5"/>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row>
    <row r="180" spans="1:99" ht="15" customHeight="1">
      <c r="A180" s="5"/>
      <c r="B180" s="60" t="s">
        <v>325</v>
      </c>
      <c r="C180" s="5"/>
      <c r="D180" s="5"/>
      <c r="E180" s="26"/>
      <c r="F180" s="26"/>
      <c r="G180" s="4"/>
      <c r="H180" s="4"/>
      <c r="I180" s="4"/>
      <c r="J180" s="4"/>
      <c r="K180" s="4"/>
      <c r="L180" s="4"/>
      <c r="M180" s="4"/>
      <c r="N180" s="4"/>
      <c r="O180" s="4"/>
      <c r="P180" s="4"/>
      <c r="Q180" s="4"/>
      <c r="R180" s="4"/>
      <c r="S180" s="27"/>
      <c r="T180" s="27"/>
      <c r="U180" s="27"/>
      <c r="V180" s="27"/>
      <c r="W180" s="27"/>
      <c r="X180" s="27"/>
      <c r="Y180" s="27"/>
      <c r="Z180" s="27"/>
      <c r="AA180" s="27"/>
      <c r="AB180" s="27"/>
      <c r="AC180" s="27"/>
      <c r="AD180" s="27"/>
      <c r="AE180" s="27"/>
      <c r="AF180" s="27"/>
      <c r="AG180" s="27"/>
      <c r="AH180" s="27"/>
      <c r="AI180" s="27"/>
      <c r="AJ180" s="28"/>
      <c r="AK180" s="27"/>
      <c r="AL180" s="27"/>
      <c r="AM180" s="27"/>
      <c r="AN180" s="29"/>
      <c r="AO180" s="20"/>
      <c r="AP180" s="29"/>
      <c r="AQ180" s="27"/>
      <c r="AR180" s="27"/>
      <c r="AS180" s="27"/>
      <c r="AT180" s="27"/>
      <c r="AU180" s="27"/>
      <c r="AV180" s="27"/>
      <c r="AW180" s="27"/>
      <c r="AX180" s="27"/>
      <c r="AY180" s="27"/>
      <c r="AZ180" s="27"/>
      <c r="BA180" s="27"/>
      <c r="BB180" s="27"/>
      <c r="BC180" s="27"/>
      <c r="BD180" s="27"/>
      <c r="BE180" s="29"/>
      <c r="BF180" s="29"/>
      <c r="BG180" s="29"/>
      <c r="BH180" s="20"/>
      <c r="BI180" s="20"/>
      <c r="BJ180" s="5"/>
      <c r="BK180" s="5"/>
      <c r="BL180" s="5"/>
      <c r="BM180" s="5"/>
      <c r="BN180" s="5"/>
      <c r="BO180" s="5"/>
      <c r="BP180" s="5"/>
      <c r="BQ180" s="43"/>
      <c r="BR180" s="43"/>
      <c r="BS180" s="43"/>
      <c r="BT180" s="44"/>
      <c r="BU180" s="43"/>
      <c r="BV180" s="5"/>
      <c r="BW180" s="43"/>
      <c r="BX180" s="43"/>
      <c r="BY180" s="43"/>
      <c r="BZ180" s="44"/>
      <c r="CA180" s="43"/>
      <c r="CB180" s="5"/>
      <c r="CC180" s="45"/>
      <c r="CD180" s="45"/>
      <c r="CE180" s="45"/>
      <c r="CF180" s="46"/>
      <c r="CG180" s="45"/>
      <c r="CH180" s="5"/>
      <c r="CI180" s="44"/>
      <c r="CJ180" s="44"/>
      <c r="CK180" s="44"/>
      <c r="CL180" s="44"/>
      <c r="CM180" s="44"/>
      <c r="CN180" s="47"/>
      <c r="CO180" s="5"/>
      <c r="CP180" s="47"/>
      <c r="CQ180" s="47"/>
      <c r="CR180" s="47"/>
      <c r="CS180" s="47"/>
      <c r="CT180" s="47"/>
      <c r="CU180" s="47"/>
    </row>
    <row r="181" spans="1:99" ht="15" customHeight="1">
      <c r="A181" s="5"/>
      <c r="B181" s="37" t="s">
        <v>326</v>
      </c>
      <c r="C181" s="37" t="s">
        <v>252</v>
      </c>
      <c r="D181" s="37" t="s">
        <v>327</v>
      </c>
      <c r="E181" s="26">
        <v>42551</v>
      </c>
      <c r="F181" s="26"/>
      <c r="G181" s="4">
        <f>106729889-4250610-97590193</f>
        <v>4889086</v>
      </c>
      <c r="H181" s="4">
        <f>45482352-38603811-3780118</f>
        <v>3098423</v>
      </c>
      <c r="I181" s="4">
        <v>106729889</v>
      </c>
      <c r="J181" s="4">
        <v>64107136</v>
      </c>
      <c r="K181" s="4">
        <v>-3698882</v>
      </c>
      <c r="L181" s="4">
        <f>44607637+7319</f>
        <v>44614956</v>
      </c>
      <c r="M181" s="4">
        <v>0</v>
      </c>
      <c r="N181" s="4">
        <v>2267653</v>
      </c>
      <c r="O181" s="4">
        <v>6114433</v>
      </c>
      <c r="P181" s="4">
        <f>SUM(L181:O181)</f>
        <v>52997042</v>
      </c>
      <c r="Q181" s="4">
        <v>51070556</v>
      </c>
      <c r="R181" s="4">
        <f t="shared" ref="R181:R187" si="209">P181-Q181</f>
        <v>1926486</v>
      </c>
      <c r="S181" s="27">
        <v>50138915</v>
      </c>
      <c r="T181" s="27">
        <v>49728203</v>
      </c>
      <c r="U181" s="27">
        <v>51731817</v>
      </c>
      <c r="V181" s="27">
        <v>51480778</v>
      </c>
      <c r="W181" s="27">
        <v>-16993</v>
      </c>
      <c r="X181" s="27">
        <v>3780118</v>
      </c>
      <c r="Y181" s="27">
        <v>5182650</v>
      </c>
      <c r="Z181" s="27">
        <v>1501119</v>
      </c>
      <c r="AA181" s="27">
        <f>42383929-Z181-Y181-X181</f>
        <v>31920042</v>
      </c>
      <c r="AB181" s="27">
        <f>X181+Y181+Z181+AA181</f>
        <v>42383929</v>
      </c>
      <c r="AC181" s="27">
        <v>1501119</v>
      </c>
      <c r="AD181" s="27">
        <v>0</v>
      </c>
      <c r="AE181" s="27">
        <f>AC181+AD181</f>
        <v>1501119</v>
      </c>
      <c r="AF181" s="27">
        <v>0</v>
      </c>
      <c r="AG181" s="27">
        <v>433877</v>
      </c>
      <c r="AH181" s="27">
        <v>434280</v>
      </c>
      <c r="AI181" s="27">
        <v>202857</v>
      </c>
      <c r="AJ181" s="28">
        <v>42186</v>
      </c>
      <c r="AK181" s="27">
        <v>1526998</v>
      </c>
      <c r="AL181" s="27">
        <v>5215411</v>
      </c>
      <c r="AM181" s="27">
        <f>AL181-AK181</f>
        <v>3688413</v>
      </c>
      <c r="AN181" s="29">
        <v>0.29299999999999998</v>
      </c>
      <c r="AO181" s="29">
        <v>7.4999999999999997E-2</v>
      </c>
      <c r="AP181" s="2" t="s">
        <v>328</v>
      </c>
      <c r="AQ181" s="27">
        <v>772191</v>
      </c>
      <c r="AR181" s="27">
        <v>772191</v>
      </c>
      <c r="AS181" s="27">
        <v>0</v>
      </c>
      <c r="AT181" s="27">
        <v>0</v>
      </c>
      <c r="AU181" s="27">
        <v>0</v>
      </c>
      <c r="AV181" s="27">
        <f t="shared" ref="AV181:BB181" si="210">40598+17909+1100+1126+8887+687+3374+22256+128248+75880</f>
        <v>300065</v>
      </c>
      <c r="AW181" s="27">
        <v>0</v>
      </c>
      <c r="AX181" s="27">
        <f t="shared" ref="AX181:AX198" si="211">AS181+AT181+AU181+AV181+AW181</f>
        <v>300065</v>
      </c>
      <c r="AY181" s="27">
        <v>18515</v>
      </c>
      <c r="AZ181" s="27">
        <v>0</v>
      </c>
      <c r="BA181" s="27">
        <f>887844+61117+133926</f>
        <v>1082887</v>
      </c>
      <c r="BB181" s="27">
        <f t="shared" si="210"/>
        <v>300065</v>
      </c>
      <c r="BC181" s="27">
        <v>-1400</v>
      </c>
      <c r="BD181" s="27">
        <f t="shared" ref="BD181:BD198" si="212">AY181+AZ181+BA181+BB181+BC181</f>
        <v>1400067</v>
      </c>
      <c r="BE181" s="29">
        <f t="shared" ref="BE181:BE212" si="213">AQ181/P181</f>
        <v>1.4570454705755088E-2</v>
      </c>
      <c r="BF181" s="29">
        <f t="shared" ref="BF181:BF212" si="214">AX181/T181</f>
        <v>6.0341010110500073E-3</v>
      </c>
      <c r="BG181" s="29">
        <f t="shared" ref="BG181:BG212" si="215">(AB181-Y181)/P181</f>
        <v>0.70195010129055879</v>
      </c>
      <c r="BH181" s="20"/>
      <c r="BI181" s="20"/>
      <c r="BJ181" s="5"/>
      <c r="BK181" s="5"/>
      <c r="BL181" s="5"/>
      <c r="BM181" s="5"/>
      <c r="BN181" s="5"/>
      <c r="BO181" s="5"/>
      <c r="BP181" s="5"/>
      <c r="BQ181" s="43"/>
      <c r="BR181" s="43"/>
      <c r="BS181" s="43"/>
      <c r="BT181" s="44"/>
      <c r="BU181" s="43"/>
      <c r="BV181" s="5"/>
      <c r="BW181" s="43"/>
      <c r="BX181" s="43"/>
      <c r="BY181" s="43"/>
      <c r="BZ181" s="44"/>
      <c r="CA181" s="43"/>
      <c r="CB181" s="5"/>
      <c r="CC181" s="45"/>
      <c r="CD181" s="45"/>
      <c r="CE181" s="45"/>
      <c r="CF181" s="46"/>
      <c r="CG181" s="45"/>
      <c r="CH181" s="5"/>
      <c r="CI181" s="44"/>
      <c r="CJ181" s="44"/>
      <c r="CK181" s="44"/>
      <c r="CL181" s="44"/>
      <c r="CM181" s="44"/>
      <c r="CN181" s="47"/>
      <c r="CO181" s="5"/>
      <c r="CP181" s="47"/>
      <c r="CQ181" s="47"/>
      <c r="CR181" s="47"/>
      <c r="CS181" s="47"/>
      <c r="CT181" s="47"/>
      <c r="CU181" s="47"/>
    </row>
    <row r="182" spans="1:99" ht="15" customHeight="1">
      <c r="A182" s="5"/>
      <c r="B182" s="37" t="s">
        <v>329</v>
      </c>
      <c r="C182" s="37" t="s">
        <v>252</v>
      </c>
      <c r="D182" s="37" t="s">
        <v>327</v>
      </c>
      <c r="E182" s="26">
        <v>42551</v>
      </c>
      <c r="F182" s="26"/>
      <c r="G182" s="4">
        <f>58355823-50751808-38858</f>
        <v>7565157</v>
      </c>
      <c r="H182" s="4">
        <f>40679249-3248785-24312036</f>
        <v>13118428</v>
      </c>
      <c r="I182" s="4">
        <v>58355823</v>
      </c>
      <c r="J182" s="4">
        <v>20724775</v>
      </c>
      <c r="K182" s="4">
        <v>-16972546</v>
      </c>
      <c r="L182" s="4">
        <v>65303845</v>
      </c>
      <c r="M182" s="4">
        <v>22772</v>
      </c>
      <c r="N182" s="4">
        <v>1866816</v>
      </c>
      <c r="O182" s="4">
        <v>9949168</v>
      </c>
      <c r="P182" s="4">
        <f>SUM(L182:O182)</f>
        <v>77142601</v>
      </c>
      <c r="Q182" s="4">
        <v>80371077</v>
      </c>
      <c r="R182" s="4">
        <f t="shared" si="209"/>
        <v>-3228476</v>
      </c>
      <c r="S182" s="27">
        <v>74236962</v>
      </c>
      <c r="T182" s="27">
        <v>72812707</v>
      </c>
      <c r="U182" s="27">
        <v>76959536</v>
      </c>
      <c r="V182" s="27">
        <v>78802128</v>
      </c>
      <c r="W182" s="27">
        <v>-66909</v>
      </c>
      <c r="X182" s="27">
        <v>3248785</v>
      </c>
      <c r="Y182" s="27">
        <v>0</v>
      </c>
      <c r="Z182" s="27">
        <v>7394690</v>
      </c>
      <c r="AA182" s="27">
        <f>27560821-X182-Z182</f>
        <v>16917346</v>
      </c>
      <c r="AB182" s="27">
        <f>X182+Y182+Z182+AA182</f>
        <v>27560821</v>
      </c>
      <c r="AC182" s="27">
        <v>7394690</v>
      </c>
      <c r="AD182" s="27">
        <v>0</v>
      </c>
      <c r="AE182" s="27">
        <f>AC182+AD182</f>
        <v>7394690</v>
      </c>
      <c r="AF182" s="27">
        <v>0</v>
      </c>
      <c r="AG182" s="27">
        <v>1136723</v>
      </c>
      <c r="AH182" s="27">
        <v>1037373</v>
      </c>
      <c r="AI182" s="27">
        <v>4184</v>
      </c>
      <c r="AJ182" s="28">
        <v>42551</v>
      </c>
      <c r="AK182" s="27">
        <v>0</v>
      </c>
      <c r="AL182" s="27">
        <v>12861139</v>
      </c>
      <c r="AM182" s="27">
        <f>AL182-AK182</f>
        <v>12861139</v>
      </c>
      <c r="AN182" s="29">
        <f>AK182/AL182</f>
        <v>0</v>
      </c>
      <c r="AO182" s="29">
        <v>0.04</v>
      </c>
      <c r="AP182" s="2" t="s">
        <v>330</v>
      </c>
      <c r="AQ182" s="27">
        <v>1066552</v>
      </c>
      <c r="AR182" s="27">
        <v>750000</v>
      </c>
      <c r="AS182" s="27">
        <v>0</v>
      </c>
      <c r="AT182" s="27">
        <f>10511+179315</f>
        <v>189826</v>
      </c>
      <c r="AU182" s="27">
        <v>0</v>
      </c>
      <c r="AV182" s="27">
        <v>0</v>
      </c>
      <c r="AW182" s="27">
        <v>646896</v>
      </c>
      <c r="AX182" s="27">
        <f t="shared" si="211"/>
        <v>836722</v>
      </c>
      <c r="AY182" s="27">
        <v>15195</v>
      </c>
      <c r="AZ182" s="27">
        <f>91393+10511+179315+74+3434</f>
        <v>284727</v>
      </c>
      <c r="BA182" s="27">
        <v>32848</v>
      </c>
      <c r="BB182" s="27">
        <v>0</v>
      </c>
      <c r="BC182" s="27">
        <v>629542</v>
      </c>
      <c r="BD182" s="27">
        <f t="shared" si="212"/>
        <v>962312</v>
      </c>
      <c r="BE182" s="29">
        <f t="shared" si="213"/>
        <v>1.3825719980585047E-2</v>
      </c>
      <c r="BF182" s="29">
        <f t="shared" si="214"/>
        <v>1.1491428275012492E-2</v>
      </c>
      <c r="BG182" s="29">
        <f t="shared" si="215"/>
        <v>0.35727108812418706</v>
      </c>
      <c r="BH182" s="20"/>
      <c r="BI182" s="20"/>
      <c r="BJ182" s="5"/>
      <c r="BK182" s="5"/>
      <c r="BL182" s="5"/>
      <c r="BM182" s="5"/>
      <c r="BN182" s="5"/>
      <c r="BO182" s="5"/>
      <c r="BP182" s="5"/>
      <c r="BQ182" s="43"/>
      <c r="BR182" s="43"/>
      <c r="BS182" s="43"/>
      <c r="BT182" s="44"/>
      <c r="BU182" s="43"/>
      <c r="BV182" s="5"/>
      <c r="BW182" s="43"/>
      <c r="BX182" s="43"/>
      <c r="BY182" s="43"/>
      <c r="BZ182" s="44"/>
      <c r="CA182" s="43"/>
      <c r="CB182" s="5"/>
      <c r="CC182" s="45"/>
      <c r="CD182" s="45"/>
      <c r="CE182" s="45"/>
      <c r="CF182" s="46"/>
      <c r="CG182" s="45"/>
      <c r="CH182" s="5"/>
      <c r="CI182" s="44"/>
      <c r="CJ182" s="44"/>
      <c r="CK182" s="44"/>
      <c r="CL182" s="44"/>
      <c r="CM182" s="44"/>
      <c r="CN182" s="47"/>
      <c r="CO182" s="5"/>
      <c r="CP182" s="47"/>
      <c r="CQ182" s="47"/>
      <c r="CR182" s="47"/>
      <c r="CS182" s="47"/>
      <c r="CT182" s="47"/>
      <c r="CU182" s="47"/>
    </row>
    <row r="183" spans="1:99" ht="15" customHeight="1">
      <c r="A183" s="5"/>
      <c r="B183" s="37" t="s">
        <v>331</v>
      </c>
      <c r="C183" s="37" t="s">
        <v>252</v>
      </c>
      <c r="D183" s="37" t="s">
        <v>327</v>
      </c>
      <c r="E183" s="26">
        <v>42551</v>
      </c>
      <c r="F183" s="26"/>
      <c r="G183" s="4">
        <v>1100990</v>
      </c>
      <c r="H183" s="4">
        <v>888863</v>
      </c>
      <c r="I183" s="4">
        <v>14647362</v>
      </c>
      <c r="J183" s="4">
        <v>10477224</v>
      </c>
      <c r="K183" s="4">
        <v>793680</v>
      </c>
      <c r="L183" s="4">
        <v>284487</v>
      </c>
      <c r="M183" s="4">
        <v>0</v>
      </c>
      <c r="N183" s="4">
        <v>15577612</v>
      </c>
      <c r="O183" s="4">
        <v>3770261</v>
      </c>
      <c r="P183" s="4">
        <f>SUM(L183:O183)</f>
        <v>19632360</v>
      </c>
      <c r="Q183" s="4">
        <v>19217215</v>
      </c>
      <c r="R183" s="4">
        <f t="shared" si="209"/>
        <v>415145</v>
      </c>
      <c r="S183" s="27">
        <v>10487009</v>
      </c>
      <c r="T183" s="27">
        <v>10529001</v>
      </c>
      <c r="U183" s="27">
        <v>21404395</v>
      </c>
      <c r="V183" s="27">
        <v>21457247</v>
      </c>
      <c r="W183" s="27">
        <v>-53105</v>
      </c>
      <c r="X183" s="27">
        <v>638000</v>
      </c>
      <c r="Y183" s="27">
        <v>0</v>
      </c>
      <c r="Z183" s="27">
        <v>0</v>
      </c>
      <c r="AA183" s="27">
        <f>3997239-638000</f>
        <v>3359239</v>
      </c>
      <c r="AB183" s="27">
        <f>X183+Y183+Z183+AA183</f>
        <v>3997239</v>
      </c>
      <c r="AC183" s="27"/>
      <c r="AD183" s="27"/>
      <c r="AE183" s="27"/>
      <c r="AF183" s="27"/>
      <c r="AG183" s="27"/>
      <c r="AH183" s="27"/>
      <c r="AI183" s="27"/>
      <c r="AJ183" s="28"/>
      <c r="AK183" s="27"/>
      <c r="AL183" s="27"/>
      <c r="AM183" s="27"/>
      <c r="AN183" s="29"/>
      <c r="AO183" s="29"/>
      <c r="AP183" s="29"/>
      <c r="AQ183" s="27"/>
      <c r="AR183" s="27"/>
      <c r="AS183" s="27">
        <v>0</v>
      </c>
      <c r="AT183" s="27">
        <v>0</v>
      </c>
      <c r="AU183" s="27">
        <v>0</v>
      </c>
      <c r="AV183" s="27">
        <v>198698</v>
      </c>
      <c r="AW183" s="27">
        <v>200752</v>
      </c>
      <c r="AX183" s="27">
        <f t="shared" si="211"/>
        <v>399450</v>
      </c>
      <c r="AY183" s="27">
        <v>2588</v>
      </c>
      <c r="AZ183" s="27">
        <f>475+91+18185+7470+6226</f>
        <v>32447</v>
      </c>
      <c r="BA183" s="27">
        <f>123575+82460</f>
        <v>206035</v>
      </c>
      <c r="BB183" s="27">
        <f>380818+27487</f>
        <v>408305</v>
      </c>
      <c r="BC183" s="27">
        <v>200752</v>
      </c>
      <c r="BD183" s="27">
        <f t="shared" si="212"/>
        <v>850127</v>
      </c>
      <c r="BE183" s="29">
        <f t="shared" si="213"/>
        <v>0</v>
      </c>
      <c r="BF183" s="29">
        <f t="shared" si="214"/>
        <v>3.7938072187475337E-2</v>
      </c>
      <c r="BG183" s="29">
        <f t="shared" si="215"/>
        <v>0.20360460993991553</v>
      </c>
      <c r="BH183" s="20"/>
      <c r="BI183" s="20"/>
      <c r="BJ183" s="5"/>
      <c r="BK183" s="5"/>
      <c r="BL183" s="5"/>
      <c r="BM183" s="5"/>
      <c r="BN183" s="5"/>
      <c r="BO183" s="5"/>
      <c r="BP183" s="5"/>
      <c r="BQ183" s="43"/>
      <c r="BR183" s="43"/>
      <c r="BS183" s="43"/>
      <c r="BT183" s="44"/>
      <c r="BU183" s="43"/>
      <c r="BV183" s="5"/>
      <c r="BW183" s="43"/>
      <c r="BX183" s="43"/>
      <c r="BY183" s="43"/>
      <c r="BZ183" s="44"/>
      <c r="CA183" s="43"/>
      <c r="CB183" s="5"/>
      <c r="CC183" s="45"/>
      <c r="CD183" s="45"/>
      <c r="CE183" s="45"/>
      <c r="CF183" s="46"/>
      <c r="CG183" s="45"/>
      <c r="CH183" s="5"/>
      <c r="CI183" s="44"/>
      <c r="CJ183" s="44"/>
      <c r="CK183" s="44"/>
      <c r="CL183" s="44"/>
      <c r="CM183" s="44"/>
      <c r="CN183" s="47"/>
      <c r="CO183" s="5"/>
      <c r="CP183" s="47"/>
      <c r="CQ183" s="47"/>
      <c r="CR183" s="47"/>
      <c r="CS183" s="47"/>
      <c r="CT183" s="47"/>
      <c r="CU183" s="47"/>
    </row>
    <row r="184" spans="1:99" ht="15" customHeight="1">
      <c r="A184" s="5"/>
      <c r="B184" s="37" t="s">
        <v>332</v>
      </c>
      <c r="C184" s="37" t="s">
        <v>252</v>
      </c>
      <c r="D184" s="37" t="s">
        <v>327</v>
      </c>
      <c r="E184" s="26">
        <v>42551</v>
      </c>
      <c r="F184" s="26"/>
      <c r="G184" s="4">
        <f>7549849+48566+8863</f>
        <v>7607278</v>
      </c>
      <c r="H184" s="4">
        <f>1221045+106038+431805+3500000</f>
        <v>5258888</v>
      </c>
      <c r="I184" s="4">
        <v>96927904</v>
      </c>
      <c r="J184" s="4">
        <v>57864494</v>
      </c>
      <c r="K184" s="4">
        <v>1618101</v>
      </c>
      <c r="L184" s="4">
        <v>36628614</v>
      </c>
      <c r="M184" s="4">
        <v>0</v>
      </c>
      <c r="N184" s="4">
        <v>704262</v>
      </c>
      <c r="O184" s="4">
        <v>9477772</v>
      </c>
      <c r="P184" s="4">
        <f>SUM(L184:O184)</f>
        <v>46810648</v>
      </c>
      <c r="Q184" s="4">
        <v>43926069</v>
      </c>
      <c r="R184" s="4">
        <f t="shared" si="209"/>
        <v>2884579</v>
      </c>
      <c r="S184" s="27">
        <v>42608537</v>
      </c>
      <c r="T184" s="27">
        <v>43095610</v>
      </c>
      <c r="U184" s="27">
        <v>46567786</v>
      </c>
      <c r="V184" s="27">
        <v>51016625</v>
      </c>
      <c r="W184" s="27">
        <v>223516</v>
      </c>
      <c r="X184" s="27">
        <v>3285000</v>
      </c>
      <c r="Y184" s="27">
        <v>0</v>
      </c>
      <c r="Z184" s="27">
        <v>0</v>
      </c>
      <c r="AA184" s="27">
        <f>33804522-3285000</f>
        <v>30519522</v>
      </c>
      <c r="AB184" s="27">
        <f>X184+Y184+Z184+AA184</f>
        <v>33804522</v>
      </c>
      <c r="AC184" s="27">
        <v>0</v>
      </c>
      <c r="AD184" s="27">
        <v>0</v>
      </c>
      <c r="AE184" s="27">
        <v>0</v>
      </c>
      <c r="AF184" s="27">
        <v>0</v>
      </c>
      <c r="AG184" s="27">
        <v>0</v>
      </c>
      <c r="AH184" s="27">
        <v>0</v>
      </c>
      <c r="AI184" s="27">
        <v>0</v>
      </c>
      <c r="AJ184" s="28">
        <v>39630</v>
      </c>
      <c r="AK184" s="27">
        <v>0</v>
      </c>
      <c r="AL184" s="27">
        <v>0</v>
      </c>
      <c r="AM184" s="27">
        <f>AL184-AK184</f>
        <v>0</v>
      </c>
      <c r="AN184" s="29">
        <v>0</v>
      </c>
      <c r="AO184" s="2" t="s">
        <v>333</v>
      </c>
      <c r="AP184" s="2" t="s">
        <v>328</v>
      </c>
      <c r="AQ184" s="27"/>
      <c r="AR184" s="27"/>
      <c r="AS184" s="27">
        <v>0</v>
      </c>
      <c r="AT184" s="27">
        <f>979332+637035</f>
        <v>1616367</v>
      </c>
      <c r="AU184" s="27">
        <v>0</v>
      </c>
      <c r="AV184" s="27">
        <v>0</v>
      </c>
      <c r="AW184" s="27">
        <v>1373687</v>
      </c>
      <c r="AX184" s="27">
        <f t="shared" si="211"/>
        <v>2990054</v>
      </c>
      <c r="AY184" s="27">
        <f>4025059+637035</f>
        <v>4662094</v>
      </c>
      <c r="AZ184" s="27">
        <v>0</v>
      </c>
      <c r="BA184" s="27">
        <v>0</v>
      </c>
      <c r="BB184" s="27">
        <v>0</v>
      </c>
      <c r="BC184" s="27">
        <v>1373687</v>
      </c>
      <c r="BD184" s="27">
        <f t="shared" si="212"/>
        <v>6035781</v>
      </c>
      <c r="BE184" s="29">
        <f t="shared" si="213"/>
        <v>0</v>
      </c>
      <c r="BF184" s="29">
        <f t="shared" si="214"/>
        <v>6.9381869754251077E-2</v>
      </c>
      <c r="BG184" s="29">
        <f t="shared" si="215"/>
        <v>0.722154540565215</v>
      </c>
      <c r="BH184" s="20"/>
      <c r="BI184" s="20"/>
      <c r="BJ184" s="5"/>
      <c r="BK184" s="5"/>
      <c r="BL184" s="5"/>
      <c r="BM184" s="5"/>
      <c r="BN184" s="5"/>
      <c r="BO184" s="5"/>
      <c r="BP184" s="5"/>
      <c r="BQ184" s="43"/>
      <c r="BR184" s="43"/>
      <c r="BS184" s="43"/>
      <c r="BT184" s="44"/>
      <c r="BU184" s="43"/>
      <c r="BV184" s="5"/>
      <c r="BW184" s="43"/>
      <c r="BX184" s="43"/>
      <c r="BY184" s="43"/>
      <c r="BZ184" s="44"/>
      <c r="CA184" s="43"/>
      <c r="CB184" s="5"/>
      <c r="CC184" s="45"/>
      <c r="CD184" s="45"/>
      <c r="CE184" s="45"/>
      <c r="CF184" s="46"/>
      <c r="CG184" s="45"/>
      <c r="CH184" s="5"/>
      <c r="CI184" s="44"/>
      <c r="CJ184" s="44"/>
      <c r="CK184" s="44"/>
      <c r="CL184" s="44"/>
      <c r="CM184" s="44"/>
      <c r="CN184" s="47"/>
      <c r="CO184" s="5"/>
      <c r="CP184" s="47"/>
      <c r="CQ184" s="47"/>
      <c r="CR184" s="47"/>
      <c r="CS184" s="47"/>
      <c r="CT184" s="47"/>
      <c r="CU184" s="47"/>
    </row>
    <row r="185" spans="1:99" ht="15" customHeight="1">
      <c r="A185" s="5"/>
      <c r="B185" s="37" t="s">
        <v>334</v>
      </c>
      <c r="C185" s="37" t="s">
        <v>252</v>
      </c>
      <c r="D185" s="37" t="s">
        <v>327</v>
      </c>
      <c r="E185" s="26">
        <v>42551</v>
      </c>
      <c r="F185" s="26"/>
      <c r="G185" s="4">
        <f>19269353-15715921</f>
        <v>3553432</v>
      </c>
      <c r="H185" s="4">
        <f>7133677-177678-2344438-1214286-2316722</f>
        <v>1080553</v>
      </c>
      <c r="I185" s="4">
        <v>19269353</v>
      </c>
      <c r="J185" s="4">
        <v>12077742</v>
      </c>
      <c r="K185" s="4">
        <v>-5062045</v>
      </c>
      <c r="L185" s="4">
        <v>29709172</v>
      </c>
      <c r="M185" s="4">
        <v>98115</v>
      </c>
      <c r="N185" s="4">
        <v>2459867</v>
      </c>
      <c r="O185" s="4">
        <v>5492598</v>
      </c>
      <c r="P185" s="4">
        <f t="shared" ref="P185:P196" si="216">L185+M185+N185+O185</f>
        <v>37759752</v>
      </c>
      <c r="Q185" s="4">
        <v>37328732</v>
      </c>
      <c r="R185" s="4">
        <f t="shared" si="209"/>
        <v>431020</v>
      </c>
      <c r="S185" s="27">
        <v>36413908</v>
      </c>
      <c r="T185" s="27">
        <v>35172340</v>
      </c>
      <c r="U185" s="27">
        <v>37857866</v>
      </c>
      <c r="V185" s="27">
        <v>36993032</v>
      </c>
      <c r="W185" s="27">
        <v>730647</v>
      </c>
      <c r="X185" s="27">
        <v>271425</v>
      </c>
      <c r="Y185" s="27">
        <v>1214286</v>
      </c>
      <c r="Z185" s="27">
        <v>2316722</v>
      </c>
      <c r="AA185" s="27">
        <f>2522116-X185</f>
        <v>2250691</v>
      </c>
      <c r="AB185" s="27">
        <f>X185+Y185+Z185+AA185</f>
        <v>6053124</v>
      </c>
      <c r="AC185" s="27">
        <v>2316722</v>
      </c>
      <c r="AD185" s="27">
        <v>0</v>
      </c>
      <c r="AE185" s="27">
        <f>AC185+AD185</f>
        <v>2316722</v>
      </c>
      <c r="AF185" s="27">
        <v>0</v>
      </c>
      <c r="AG185" s="27">
        <v>566281</v>
      </c>
      <c r="AH185" s="27">
        <v>557534</v>
      </c>
      <c r="AI185" s="27">
        <v>146413</v>
      </c>
      <c r="AJ185" s="28">
        <v>41821</v>
      </c>
      <c r="AK185" s="27">
        <v>0</v>
      </c>
      <c r="AL185" s="27">
        <v>4820545</v>
      </c>
      <c r="AM185" s="27">
        <f>AL185-AK185</f>
        <v>4820545</v>
      </c>
      <c r="AN185" s="30">
        <f>AK185/AL185</f>
        <v>0</v>
      </c>
      <c r="AO185" s="29">
        <v>0.04</v>
      </c>
      <c r="AP185" s="29">
        <v>3.5000000000000003E-2</v>
      </c>
      <c r="AQ185" s="27">
        <v>315120</v>
      </c>
      <c r="AR185" s="27">
        <v>597600</v>
      </c>
      <c r="AS185" s="27">
        <v>0</v>
      </c>
      <c r="AT185" s="27">
        <v>95620</v>
      </c>
      <c r="AU185" s="27">
        <v>807206</v>
      </c>
      <c r="AV185" s="27">
        <v>0</v>
      </c>
      <c r="AW185" s="27">
        <v>559948</v>
      </c>
      <c r="AX185" s="27">
        <f t="shared" si="211"/>
        <v>1462774</v>
      </c>
      <c r="AY185" s="27">
        <v>14227</v>
      </c>
      <c r="AZ185" s="27">
        <f>1024712+95620</f>
        <v>1120332</v>
      </c>
      <c r="BA185" s="27">
        <f>807206+38143+42842-114085</f>
        <v>774106</v>
      </c>
      <c r="BB185" s="27">
        <v>0</v>
      </c>
      <c r="BC185" s="27">
        <v>564214</v>
      </c>
      <c r="BD185" s="27">
        <f t="shared" si="212"/>
        <v>2472879</v>
      </c>
      <c r="BE185" s="29">
        <f t="shared" si="213"/>
        <v>8.3453937938999176E-3</v>
      </c>
      <c r="BF185" s="29">
        <f t="shared" si="214"/>
        <v>4.1588759803868607E-2</v>
      </c>
      <c r="BG185" s="29">
        <f t="shared" si="215"/>
        <v>0.12814803444683642</v>
      </c>
      <c r="BH185" s="20"/>
      <c r="BI185" s="20"/>
      <c r="BJ185" s="5"/>
      <c r="BK185" s="5"/>
      <c r="BL185" s="5"/>
      <c r="BM185" s="5"/>
      <c r="BN185" s="5"/>
      <c r="BO185" s="5"/>
      <c r="BP185" s="5"/>
      <c r="BQ185" s="43"/>
      <c r="BR185" s="43"/>
      <c r="BS185" s="43"/>
      <c r="BT185" s="44"/>
      <c r="BU185" s="43"/>
      <c r="BV185" s="5"/>
      <c r="BW185" s="43"/>
      <c r="BX185" s="43"/>
      <c r="BY185" s="43"/>
      <c r="BZ185" s="44"/>
      <c r="CA185" s="43"/>
      <c r="CB185" s="5"/>
      <c r="CC185" s="45"/>
      <c r="CD185" s="45"/>
      <c r="CE185" s="45"/>
      <c r="CF185" s="46"/>
      <c r="CG185" s="45"/>
      <c r="CH185" s="5"/>
      <c r="CI185" s="44"/>
      <c r="CJ185" s="44"/>
      <c r="CK185" s="44"/>
      <c r="CL185" s="44"/>
      <c r="CM185" s="44"/>
      <c r="CN185" s="47"/>
      <c r="CO185" s="5"/>
      <c r="CP185" s="47"/>
      <c r="CQ185" s="47"/>
      <c r="CR185" s="47"/>
      <c r="CS185" s="47"/>
      <c r="CT185" s="47"/>
      <c r="CU185" s="47"/>
    </row>
    <row r="186" spans="1:99" ht="15" customHeight="1">
      <c r="A186" s="5"/>
      <c r="B186" s="37" t="s">
        <v>335</v>
      </c>
      <c r="C186" s="37" t="s">
        <v>252</v>
      </c>
      <c r="D186" s="37" t="s">
        <v>327</v>
      </c>
      <c r="E186" s="50" t="s">
        <v>263</v>
      </c>
      <c r="F186" s="26"/>
      <c r="G186" s="4">
        <v>2577010</v>
      </c>
      <c r="H186" s="4">
        <v>1081425</v>
      </c>
      <c r="I186" s="4">
        <v>19226369</v>
      </c>
      <c r="J186" s="4">
        <v>16000694</v>
      </c>
      <c r="K186" s="4">
        <v>2110922</v>
      </c>
      <c r="L186" s="4">
        <f>18267666+111583</f>
        <v>18379249</v>
      </c>
      <c r="M186" s="4">
        <v>0</v>
      </c>
      <c r="N186" s="4">
        <v>1218147</v>
      </c>
      <c r="O186" s="4">
        <v>2557489</v>
      </c>
      <c r="P186" s="4">
        <f t="shared" si="216"/>
        <v>22154885</v>
      </c>
      <c r="Q186" s="4">
        <v>22661780</v>
      </c>
      <c r="R186" s="4">
        <f t="shared" si="209"/>
        <v>-506895</v>
      </c>
      <c r="S186" s="27">
        <v>21959708</v>
      </c>
      <c r="T186" s="27">
        <v>22277328</v>
      </c>
      <c r="U186" s="27">
        <v>22353897</v>
      </c>
      <c r="V186" s="27">
        <v>22672756</v>
      </c>
      <c r="W186" s="27">
        <v>-315718</v>
      </c>
      <c r="X186" s="27"/>
      <c r="Y186" s="27"/>
      <c r="Z186" s="27"/>
      <c r="AA186" s="27"/>
      <c r="AB186" s="27"/>
      <c r="AC186" s="27"/>
      <c r="AD186" s="27"/>
      <c r="AE186" s="27"/>
      <c r="AF186" s="27"/>
      <c r="AG186" s="27"/>
      <c r="AH186" s="27"/>
      <c r="AI186" s="27"/>
      <c r="AJ186" s="28"/>
      <c r="AK186" s="20"/>
      <c r="AL186" s="27"/>
      <c r="AM186" s="27"/>
      <c r="AN186" s="29"/>
      <c r="AO186" s="20"/>
      <c r="AP186" s="20"/>
      <c r="AQ186" s="27">
        <v>0</v>
      </c>
      <c r="AR186" s="27">
        <v>0</v>
      </c>
      <c r="AS186" s="27">
        <v>52574</v>
      </c>
      <c r="AT186" s="27">
        <v>0</v>
      </c>
      <c r="AU186" s="27">
        <v>108267</v>
      </c>
      <c r="AV186" s="27">
        <v>577346</v>
      </c>
      <c r="AW186" s="27">
        <v>1356816</v>
      </c>
      <c r="AX186" s="27">
        <f t="shared" si="211"/>
        <v>2095003</v>
      </c>
      <c r="AY186" s="27">
        <v>60682</v>
      </c>
      <c r="AZ186" s="27">
        <f>145204+9279+585+5</f>
        <v>155073</v>
      </c>
      <c r="BA186" s="27">
        <v>103267</v>
      </c>
      <c r="BB186" s="27">
        <v>583224</v>
      </c>
      <c r="BC186" s="27">
        <v>1670878</v>
      </c>
      <c r="BD186" s="27">
        <f t="shared" si="212"/>
        <v>2573124</v>
      </c>
      <c r="BE186" s="29">
        <f t="shared" si="213"/>
        <v>0</v>
      </c>
      <c r="BF186" s="29">
        <f t="shared" si="214"/>
        <v>9.4041933574798564E-2</v>
      </c>
      <c r="BG186" s="29">
        <f t="shared" si="215"/>
        <v>0</v>
      </c>
      <c r="BH186" s="20"/>
      <c r="BI186" s="20"/>
      <c r="BJ186" s="5"/>
      <c r="BK186" s="5"/>
      <c r="BL186" s="5"/>
      <c r="BM186" s="5"/>
      <c r="BN186" s="5"/>
      <c r="BO186" s="5"/>
      <c r="BP186" s="5"/>
      <c r="BQ186" s="43"/>
      <c r="BR186" s="43"/>
      <c r="BS186" s="43"/>
      <c r="BT186" s="44"/>
      <c r="BU186" s="43"/>
      <c r="BV186" s="5"/>
      <c r="BW186" s="43"/>
      <c r="BX186" s="43"/>
      <c r="BY186" s="43"/>
      <c r="BZ186" s="44"/>
      <c r="CA186" s="43"/>
      <c r="CB186" s="5"/>
      <c r="CC186" s="45"/>
      <c r="CD186" s="45"/>
      <c r="CE186" s="45"/>
      <c r="CF186" s="46"/>
      <c r="CG186" s="45"/>
      <c r="CH186" s="5"/>
      <c r="CI186" s="44"/>
      <c r="CJ186" s="44"/>
      <c r="CK186" s="44"/>
      <c r="CL186" s="44"/>
      <c r="CM186" s="44"/>
      <c r="CN186" s="47"/>
      <c r="CO186" s="5"/>
      <c r="CP186" s="47"/>
      <c r="CQ186" s="47"/>
      <c r="CR186" s="47"/>
      <c r="CS186" s="47"/>
      <c r="CT186" s="47"/>
      <c r="CU186" s="47"/>
    </row>
    <row r="187" spans="1:99" ht="15" customHeight="1">
      <c r="A187" s="5"/>
      <c r="B187" s="37" t="s">
        <v>336</v>
      </c>
      <c r="C187" s="37" t="s">
        <v>252</v>
      </c>
      <c r="D187" s="37" t="s">
        <v>327</v>
      </c>
      <c r="E187" s="50" t="s">
        <v>263</v>
      </c>
      <c r="F187" s="26"/>
      <c r="G187" s="4">
        <f>5648555-1995614</f>
        <v>3652941</v>
      </c>
      <c r="H187" s="4">
        <f>4005591-2563709-450000</f>
        <v>991882</v>
      </c>
      <c r="I187" s="4">
        <v>5648555</v>
      </c>
      <c r="J187" s="4">
        <v>2531149</v>
      </c>
      <c r="K187" s="4">
        <v>-992096</v>
      </c>
      <c r="L187" s="4">
        <f>21204396+158904</f>
        <v>21363300</v>
      </c>
      <c r="M187" s="4">
        <v>0</v>
      </c>
      <c r="N187" s="4">
        <v>459803</v>
      </c>
      <c r="O187" s="4">
        <v>2374476</v>
      </c>
      <c r="P187" s="4">
        <f t="shared" si="216"/>
        <v>24197579</v>
      </c>
      <c r="Q187" s="4">
        <v>24407860</v>
      </c>
      <c r="R187" s="4">
        <f t="shared" si="209"/>
        <v>-210281</v>
      </c>
      <c r="S187" s="27">
        <v>23514093</v>
      </c>
      <c r="T187" s="27">
        <v>22635172</v>
      </c>
      <c r="U187" s="27">
        <v>24197579</v>
      </c>
      <c r="V187" s="27">
        <v>24250089</v>
      </c>
      <c r="W187" s="27">
        <v>-36519</v>
      </c>
      <c r="X187" s="27">
        <v>450000</v>
      </c>
      <c r="Y187" s="27">
        <v>784623</v>
      </c>
      <c r="Z187" s="27">
        <v>751098</v>
      </c>
      <c r="AA187" s="27">
        <f>3013709-751098-784623-450000</f>
        <v>1027988</v>
      </c>
      <c r="AB187" s="27">
        <f>X187+Y187+Z187+AA187</f>
        <v>3013709</v>
      </c>
      <c r="AC187" s="27">
        <v>751098</v>
      </c>
      <c r="AD187" s="27">
        <v>0</v>
      </c>
      <c r="AE187" s="27">
        <f t="shared" ref="AE187:AE196" si="217">AC187+AD187</f>
        <v>751098</v>
      </c>
      <c r="AF187" s="27">
        <v>0</v>
      </c>
      <c r="AG187" s="27">
        <v>109566</v>
      </c>
      <c r="AH187" s="27">
        <v>109566</v>
      </c>
      <c r="AI187" s="27"/>
      <c r="AJ187" s="2" t="s">
        <v>274</v>
      </c>
      <c r="AK187" s="42">
        <v>0</v>
      </c>
      <c r="AL187" s="61">
        <v>1102581</v>
      </c>
      <c r="AM187" s="27">
        <f>AL187-AK187</f>
        <v>1102581</v>
      </c>
      <c r="AN187" s="29">
        <f t="shared" ref="AN187:AN196" si="218">AK187/AL187</f>
        <v>0</v>
      </c>
      <c r="AO187" s="20"/>
      <c r="AP187" s="20"/>
      <c r="AQ187" s="27">
        <v>176819</v>
      </c>
      <c r="AR187" s="27">
        <v>176819</v>
      </c>
      <c r="AS187" s="27">
        <v>0</v>
      </c>
      <c r="AT187" s="27">
        <v>167959</v>
      </c>
      <c r="AU187" s="27">
        <v>0</v>
      </c>
      <c r="AV187" s="27">
        <v>0</v>
      </c>
      <c r="AW187" s="27">
        <v>905359</v>
      </c>
      <c r="AX187" s="27">
        <f t="shared" si="211"/>
        <v>1073318</v>
      </c>
      <c r="AY187" s="27">
        <v>8827</v>
      </c>
      <c r="AZ187" s="27">
        <f>167959+66623+289506+991764+4920+6859</f>
        <v>1527631</v>
      </c>
      <c r="BA187" s="27">
        <f>201652+28595</f>
        <v>230247</v>
      </c>
      <c r="BB187" s="27">
        <v>0</v>
      </c>
      <c r="BC187" s="27">
        <v>905359</v>
      </c>
      <c r="BD187" s="27">
        <f t="shared" si="212"/>
        <v>2672064</v>
      </c>
      <c r="BE187" s="29">
        <f t="shared" si="213"/>
        <v>7.3073012800164844E-3</v>
      </c>
      <c r="BF187" s="29">
        <f t="shared" si="214"/>
        <v>4.741815083181166E-2</v>
      </c>
      <c r="BG187" s="29">
        <f t="shared" si="215"/>
        <v>9.2120207562913628E-2</v>
      </c>
      <c r="BH187" s="20"/>
      <c r="BI187" s="20"/>
      <c r="BJ187" s="5"/>
      <c r="BK187" s="5"/>
      <c r="BL187" s="5"/>
      <c r="BM187" s="5"/>
      <c r="BN187" s="5"/>
      <c r="BO187" s="5"/>
      <c r="BP187" s="5"/>
      <c r="BQ187" s="43"/>
      <c r="BR187" s="43"/>
      <c r="BS187" s="43"/>
      <c r="BT187" s="44"/>
      <c r="BU187" s="43"/>
      <c r="BV187" s="5"/>
      <c r="BW187" s="43"/>
      <c r="BX187" s="43"/>
      <c r="BY187" s="43"/>
      <c r="BZ187" s="44"/>
      <c r="CA187" s="43"/>
      <c r="CB187" s="5"/>
      <c r="CC187" s="45"/>
      <c r="CD187" s="45"/>
      <c r="CE187" s="45"/>
      <c r="CF187" s="46"/>
      <c r="CG187" s="45"/>
      <c r="CH187" s="5"/>
      <c r="CI187" s="44"/>
      <c r="CJ187" s="44"/>
      <c r="CK187" s="44"/>
      <c r="CL187" s="44"/>
      <c r="CM187" s="44"/>
      <c r="CN187" s="47"/>
      <c r="CO187" s="5"/>
      <c r="CP187" s="47"/>
      <c r="CQ187" s="47"/>
      <c r="CR187" s="47"/>
      <c r="CS187" s="47"/>
      <c r="CT187" s="47"/>
      <c r="CU187" s="47"/>
    </row>
    <row r="188" spans="1:99" ht="15" customHeight="1">
      <c r="A188" s="5"/>
      <c r="B188" s="37" t="s">
        <v>337</v>
      </c>
      <c r="C188" s="37" t="s">
        <v>252</v>
      </c>
      <c r="D188" s="37" t="s">
        <v>327</v>
      </c>
      <c r="E188" s="50" t="s">
        <v>263</v>
      </c>
      <c r="F188" s="26"/>
      <c r="G188" s="4">
        <f>3390896-2622885-3000</f>
        <v>765011</v>
      </c>
      <c r="H188" s="4">
        <f>788854-445568-28480-60000</f>
        <v>254806</v>
      </c>
      <c r="I188" s="4">
        <v>3390896</v>
      </c>
      <c r="J188" s="4">
        <v>2602042</v>
      </c>
      <c r="K188" s="4">
        <v>-23843</v>
      </c>
      <c r="L188" s="4">
        <v>6171577</v>
      </c>
      <c r="M188" s="4">
        <v>0</v>
      </c>
      <c r="N188" s="4">
        <v>161798</v>
      </c>
      <c r="O188" s="4">
        <v>863554</v>
      </c>
      <c r="P188" s="4">
        <f t="shared" si="216"/>
        <v>7196929</v>
      </c>
      <c r="Q188" s="4">
        <v>7564291</v>
      </c>
      <c r="R188" s="4">
        <v>-367362</v>
      </c>
      <c r="S188" s="27">
        <v>6810473</v>
      </c>
      <c r="T188" s="27">
        <v>6889959</v>
      </c>
      <c r="U188" s="27">
        <v>7196929</v>
      </c>
      <c r="V188" s="27">
        <v>7352440</v>
      </c>
      <c r="W188" s="27">
        <v>-129486</v>
      </c>
      <c r="X188" s="27">
        <v>60000</v>
      </c>
      <c r="Y188" s="27">
        <v>0</v>
      </c>
      <c r="Z188" s="27">
        <v>445568</v>
      </c>
      <c r="AA188" s="27">
        <f>AB188-Z188-Y188-X188</f>
        <v>28480</v>
      </c>
      <c r="AB188" s="27">
        <v>534048</v>
      </c>
      <c r="AC188" s="27">
        <v>445567</v>
      </c>
      <c r="AD188" s="27">
        <v>0</v>
      </c>
      <c r="AE188" s="27">
        <f t="shared" si="217"/>
        <v>445567</v>
      </c>
      <c r="AF188" s="27">
        <v>0</v>
      </c>
      <c r="AG188" s="27">
        <v>127990</v>
      </c>
      <c r="AH188" s="27">
        <v>126047</v>
      </c>
      <c r="AI188" s="27">
        <v>10578</v>
      </c>
      <c r="AJ188" s="28">
        <v>42551</v>
      </c>
      <c r="AK188" s="42">
        <v>0</v>
      </c>
      <c r="AL188" s="27">
        <v>708747</v>
      </c>
      <c r="AM188" s="27">
        <v>708747</v>
      </c>
      <c r="AN188" s="29">
        <f t="shared" si="218"/>
        <v>0</v>
      </c>
      <c r="AO188" s="29">
        <v>2.5000000000000001E-2</v>
      </c>
      <c r="AP188" s="2" t="s">
        <v>338</v>
      </c>
      <c r="AQ188" s="27"/>
      <c r="AR188" s="27"/>
      <c r="AS188" s="27">
        <v>3821</v>
      </c>
      <c r="AT188" s="27">
        <v>0</v>
      </c>
      <c r="AU188" s="27">
        <v>0</v>
      </c>
      <c r="AV188" s="27">
        <v>150000</v>
      </c>
      <c r="AW188" s="27">
        <v>184475</v>
      </c>
      <c r="AX188" s="27">
        <f t="shared" si="211"/>
        <v>338296</v>
      </c>
      <c r="AY188" s="27">
        <v>9422</v>
      </c>
      <c r="AZ188" s="27">
        <v>0</v>
      </c>
      <c r="BA188" s="27">
        <v>166307</v>
      </c>
      <c r="BB188" s="27">
        <v>150000</v>
      </c>
      <c r="BC188" s="27">
        <v>184475</v>
      </c>
      <c r="BD188" s="27">
        <f t="shared" si="212"/>
        <v>510204</v>
      </c>
      <c r="BE188" s="29">
        <f t="shared" si="213"/>
        <v>0</v>
      </c>
      <c r="BF188" s="29">
        <f t="shared" si="214"/>
        <v>4.9099856762572898E-2</v>
      </c>
      <c r="BG188" s="29">
        <f t="shared" si="215"/>
        <v>7.4204983820182188E-2</v>
      </c>
      <c r="BH188" s="20"/>
      <c r="BI188" s="20"/>
      <c r="BJ188" s="5"/>
      <c r="BK188" s="5"/>
      <c r="BL188" s="5"/>
      <c r="BM188" s="5"/>
      <c r="BN188" s="5"/>
      <c r="BO188" s="5"/>
      <c r="BP188" s="5"/>
      <c r="BQ188" s="43"/>
      <c r="BR188" s="43"/>
      <c r="BS188" s="43"/>
      <c r="BT188" s="44"/>
      <c r="BU188" s="43"/>
      <c r="BV188" s="5"/>
      <c r="BW188" s="43"/>
      <c r="BX188" s="43"/>
      <c r="BY188" s="43"/>
      <c r="BZ188" s="44"/>
      <c r="CA188" s="43"/>
      <c r="CB188" s="5"/>
      <c r="CC188" s="45"/>
      <c r="CD188" s="45"/>
      <c r="CE188" s="45"/>
      <c r="CF188" s="46"/>
      <c r="CG188" s="45"/>
      <c r="CH188" s="5"/>
      <c r="CI188" s="44"/>
      <c r="CJ188" s="44"/>
      <c r="CK188" s="44"/>
      <c r="CL188" s="44"/>
      <c r="CM188" s="44"/>
      <c r="CN188" s="47"/>
      <c r="CO188" s="5"/>
      <c r="CP188" s="47"/>
      <c r="CQ188" s="47"/>
      <c r="CR188" s="47"/>
      <c r="CS188" s="47"/>
      <c r="CT188" s="47"/>
      <c r="CU188" s="47"/>
    </row>
    <row r="189" spans="1:99" ht="15" customHeight="1">
      <c r="A189" s="5"/>
      <c r="B189" s="37" t="s">
        <v>339</v>
      </c>
      <c r="C189" s="37" t="s">
        <v>252</v>
      </c>
      <c r="D189" s="37" t="s">
        <v>327</v>
      </c>
      <c r="E189" s="50" t="s">
        <v>263</v>
      </c>
      <c r="F189" s="26"/>
      <c r="G189" s="4">
        <f>42300352-39682874</f>
        <v>2617478</v>
      </c>
      <c r="H189" s="4">
        <f>22581194-16274650</f>
        <v>6306544</v>
      </c>
      <c r="I189" s="4">
        <v>42300352</v>
      </c>
      <c r="J189" s="4">
        <v>20271298</v>
      </c>
      <c r="K189" s="4">
        <v>-2351576</v>
      </c>
      <c r="L189" s="4">
        <v>23145123</v>
      </c>
      <c r="M189" s="4">
        <v>0</v>
      </c>
      <c r="N189" s="4">
        <v>1110355</v>
      </c>
      <c r="O189" s="4">
        <v>3010506</v>
      </c>
      <c r="P189" s="4">
        <f t="shared" si="216"/>
        <v>27265984</v>
      </c>
      <c r="Q189" s="4">
        <v>26492197</v>
      </c>
      <c r="R189" s="4">
        <v>773787</v>
      </c>
      <c r="S189" s="27">
        <v>25445685</v>
      </c>
      <c r="T189" s="27">
        <v>25366032</v>
      </c>
      <c r="U189" s="27">
        <v>27265983</v>
      </c>
      <c r="V189" s="27">
        <v>27727237</v>
      </c>
      <c r="W189" s="27">
        <v>0</v>
      </c>
      <c r="X189" s="27">
        <v>2269676</v>
      </c>
      <c r="Y189" s="27">
        <v>1423525</v>
      </c>
      <c r="Z189" s="27">
        <v>1636124</v>
      </c>
      <c r="AA189" s="27">
        <f>16051059-SUM(X189:Z189)</f>
        <v>10721734</v>
      </c>
      <c r="AB189" s="27">
        <f t="shared" ref="AB189:AB196" si="219">SUM(X189:AA189)</f>
        <v>16051059</v>
      </c>
      <c r="AC189" s="27">
        <v>1636124</v>
      </c>
      <c r="AD189" s="27">
        <v>0</v>
      </c>
      <c r="AE189" s="27">
        <f t="shared" si="217"/>
        <v>1636124</v>
      </c>
      <c r="AF189" s="27">
        <v>0</v>
      </c>
      <c r="AG189" s="27">
        <v>313946</v>
      </c>
      <c r="AH189" s="27">
        <v>298289</v>
      </c>
      <c r="AI189" s="27">
        <v>77333</v>
      </c>
      <c r="AJ189" s="28">
        <v>41821</v>
      </c>
      <c r="AK189" s="27">
        <v>0</v>
      </c>
      <c r="AL189" s="27">
        <v>4813507</v>
      </c>
      <c r="AM189" s="27">
        <v>4813507</v>
      </c>
      <c r="AN189" s="29">
        <f t="shared" si="218"/>
        <v>0</v>
      </c>
      <c r="AO189" s="29">
        <v>0.04</v>
      </c>
      <c r="AP189" s="29"/>
      <c r="AQ189" s="27">
        <v>339996</v>
      </c>
      <c r="AR189" s="27">
        <v>435126</v>
      </c>
      <c r="AS189" s="27">
        <v>0</v>
      </c>
      <c r="AT189" s="27">
        <v>0</v>
      </c>
      <c r="AU189" s="27">
        <v>0</v>
      </c>
      <c r="AV189" s="27">
        <v>0</v>
      </c>
      <c r="AW189" s="27">
        <v>4255</v>
      </c>
      <c r="AX189" s="27">
        <f t="shared" si="211"/>
        <v>4255</v>
      </c>
      <c r="AY189" s="27">
        <v>17452</v>
      </c>
      <c r="AZ189" s="27">
        <v>335783</v>
      </c>
      <c r="BA189" s="27">
        <v>0</v>
      </c>
      <c r="BB189" s="27">
        <v>420452</v>
      </c>
      <c r="BC189" s="27">
        <v>-4635181</v>
      </c>
      <c r="BD189" s="27">
        <f t="shared" si="212"/>
        <v>-3861494</v>
      </c>
      <c r="BE189" s="29">
        <f t="shared" si="213"/>
        <v>1.2469603150944414E-2</v>
      </c>
      <c r="BF189" s="29">
        <f t="shared" si="214"/>
        <v>1.677440129382475E-4</v>
      </c>
      <c r="BG189" s="29">
        <f t="shared" si="215"/>
        <v>0.53647555870347463</v>
      </c>
      <c r="BH189" s="20"/>
      <c r="BI189" s="20"/>
      <c r="BJ189" s="5"/>
      <c r="BK189" s="5"/>
      <c r="BL189" s="5"/>
      <c r="BM189" s="5"/>
      <c r="BN189" s="5"/>
      <c r="BO189" s="5"/>
      <c r="BP189" s="5"/>
      <c r="BQ189" s="43"/>
      <c r="BR189" s="43"/>
      <c r="BS189" s="43"/>
      <c r="BT189" s="44"/>
      <c r="BU189" s="43"/>
      <c r="BV189" s="5"/>
      <c r="BW189" s="43"/>
      <c r="BX189" s="43"/>
      <c r="BY189" s="43"/>
      <c r="BZ189" s="44"/>
      <c r="CA189" s="43"/>
      <c r="CB189" s="5"/>
      <c r="CC189" s="45"/>
      <c r="CD189" s="45"/>
      <c r="CE189" s="45"/>
      <c r="CF189" s="46"/>
      <c r="CG189" s="45"/>
      <c r="CH189" s="5"/>
      <c r="CI189" s="44"/>
      <c r="CJ189" s="44"/>
      <c r="CK189" s="44"/>
      <c r="CL189" s="44"/>
      <c r="CM189" s="44"/>
      <c r="CN189" s="47"/>
      <c r="CO189" s="5"/>
      <c r="CP189" s="47"/>
      <c r="CQ189" s="47"/>
      <c r="CR189" s="47"/>
      <c r="CS189" s="47"/>
      <c r="CT189" s="47"/>
      <c r="CU189" s="47"/>
    </row>
    <row r="190" spans="1:99" ht="15" customHeight="1">
      <c r="A190" s="5"/>
      <c r="B190" s="37" t="s">
        <v>340</v>
      </c>
      <c r="C190" s="37" t="s">
        <v>252</v>
      </c>
      <c r="D190" s="37" t="s">
        <v>327</v>
      </c>
      <c r="E190" s="50" t="s">
        <v>263</v>
      </c>
      <c r="F190" s="26"/>
      <c r="G190" s="4">
        <f>44684354-40273235-1724243</f>
        <v>2686876</v>
      </c>
      <c r="H190" s="4">
        <f>22053314-17573023-2368313</f>
        <v>2111978</v>
      </c>
      <c r="I190" s="4">
        <v>44684354</v>
      </c>
      <c r="J190" s="4">
        <v>22918713</v>
      </c>
      <c r="K190" s="4">
        <v>2586814</v>
      </c>
      <c r="L190" s="4">
        <v>27771032</v>
      </c>
      <c r="M190" s="4">
        <v>0</v>
      </c>
      <c r="N190" s="4">
        <v>803779</v>
      </c>
      <c r="O190" s="4">
        <v>3585994</v>
      </c>
      <c r="P190" s="4">
        <f t="shared" si="216"/>
        <v>32160805</v>
      </c>
      <c r="Q190" s="4">
        <v>32398520</v>
      </c>
      <c r="R190" s="4">
        <v>-237715</v>
      </c>
      <c r="S190" s="27">
        <v>31126313</v>
      </c>
      <c r="T190" s="27">
        <v>31024570</v>
      </c>
      <c r="U190" s="27">
        <v>31459052</v>
      </c>
      <c r="V190" s="27">
        <v>31365517</v>
      </c>
      <c r="W190" s="27">
        <v>201409</v>
      </c>
      <c r="X190" s="27">
        <v>2368313</v>
      </c>
      <c r="Y190" s="27">
        <v>0</v>
      </c>
      <c r="Z190" s="27">
        <v>1833000</v>
      </c>
      <c r="AA190" s="27">
        <f>19941336-1833000-2368313</f>
        <v>15740023</v>
      </c>
      <c r="AB190" s="27">
        <f t="shared" si="219"/>
        <v>19941336</v>
      </c>
      <c r="AC190" s="27">
        <v>1833000</v>
      </c>
      <c r="AD190" s="27">
        <v>0</v>
      </c>
      <c r="AE190" s="27">
        <f t="shared" si="217"/>
        <v>1833000</v>
      </c>
      <c r="AF190" s="27">
        <v>0</v>
      </c>
      <c r="AG190" s="27">
        <v>437000</v>
      </c>
      <c r="AH190" s="27">
        <v>413000</v>
      </c>
      <c r="AI190" s="27">
        <v>135000</v>
      </c>
      <c r="AJ190" s="28">
        <v>41821</v>
      </c>
      <c r="AK190" s="27">
        <v>0</v>
      </c>
      <c r="AL190" s="27">
        <v>5487000</v>
      </c>
      <c r="AM190" s="27">
        <v>5487000</v>
      </c>
      <c r="AN190" s="29">
        <f t="shared" si="218"/>
        <v>0</v>
      </c>
      <c r="AO190" s="29">
        <v>4.4999999999999998E-2</v>
      </c>
      <c r="AP190" s="29">
        <v>2.5000000000000001E-2</v>
      </c>
      <c r="AQ190" s="27"/>
      <c r="AR190" s="27"/>
      <c r="AS190" s="27">
        <v>0</v>
      </c>
      <c r="AT190" s="27">
        <v>0</v>
      </c>
      <c r="AU190" s="27">
        <v>129184</v>
      </c>
      <c r="AV190" s="27">
        <v>129590</v>
      </c>
      <c r="AW190" s="27">
        <v>246581</v>
      </c>
      <c r="AX190" s="27">
        <f t="shared" si="211"/>
        <v>505355</v>
      </c>
      <c r="AY190" s="27">
        <v>0</v>
      </c>
      <c r="AZ190" s="27">
        <v>0</v>
      </c>
      <c r="BA190" s="27">
        <v>129184</v>
      </c>
      <c r="BB190" s="27">
        <v>142729</v>
      </c>
      <c r="BC190" s="27">
        <v>246581</v>
      </c>
      <c r="BD190" s="27">
        <f t="shared" si="212"/>
        <v>518494</v>
      </c>
      <c r="BE190" s="29">
        <f t="shared" si="213"/>
        <v>0</v>
      </c>
      <c r="BF190" s="29">
        <f t="shared" si="214"/>
        <v>1.6288863955245793E-2</v>
      </c>
      <c r="BG190" s="29">
        <f t="shared" si="215"/>
        <v>0.62005089735782426</v>
      </c>
      <c r="BH190" s="20"/>
      <c r="BI190" s="20"/>
      <c r="BJ190" s="5"/>
      <c r="BK190" s="5"/>
      <c r="BL190" s="5"/>
      <c r="BM190" s="5"/>
      <c r="BN190" s="5"/>
      <c r="BO190" s="5"/>
      <c r="BP190" s="5"/>
      <c r="BQ190" s="43"/>
      <c r="BR190" s="43"/>
      <c r="BS190" s="43"/>
      <c r="BT190" s="44"/>
      <c r="BU190" s="43"/>
      <c r="BV190" s="5"/>
      <c r="BW190" s="43"/>
      <c r="BX190" s="43"/>
      <c r="BY190" s="43"/>
      <c r="BZ190" s="44"/>
      <c r="CA190" s="43"/>
      <c r="CB190" s="5"/>
      <c r="CC190" s="45"/>
      <c r="CD190" s="45"/>
      <c r="CE190" s="45"/>
      <c r="CF190" s="46"/>
      <c r="CG190" s="45"/>
      <c r="CH190" s="5"/>
      <c r="CI190" s="44"/>
      <c r="CJ190" s="44"/>
      <c r="CK190" s="44"/>
      <c r="CL190" s="44"/>
      <c r="CM190" s="44"/>
      <c r="CN190" s="47"/>
      <c r="CO190" s="5"/>
      <c r="CP190" s="47"/>
      <c r="CQ190" s="47"/>
      <c r="CR190" s="47"/>
      <c r="CS190" s="47"/>
      <c r="CT190" s="47"/>
      <c r="CU190" s="47"/>
    </row>
    <row r="191" spans="1:99" ht="15" customHeight="1">
      <c r="A191" s="5"/>
      <c r="B191" s="37" t="s">
        <v>341</v>
      </c>
      <c r="C191" s="37" t="s">
        <v>252</v>
      </c>
      <c r="D191" s="37" t="s">
        <v>327</v>
      </c>
      <c r="E191" s="50" t="s">
        <v>263</v>
      </c>
      <c r="F191" s="26"/>
      <c r="G191" s="4">
        <f>16947614-11036484-1883789</f>
        <v>4027341</v>
      </c>
      <c r="H191" s="4">
        <f>8735506-3860163-2965532</f>
        <v>1909811</v>
      </c>
      <c r="I191" s="4">
        <v>16947614</v>
      </c>
      <c r="J191" s="4">
        <v>8672772</v>
      </c>
      <c r="K191" s="4">
        <v>-2957501</v>
      </c>
      <c r="L191" s="4">
        <v>16916079</v>
      </c>
      <c r="M191" s="4">
        <v>63650</v>
      </c>
      <c r="N191" s="4">
        <v>1502219</v>
      </c>
      <c r="O191" s="4">
        <v>2896400</v>
      </c>
      <c r="P191" s="4">
        <f t="shared" si="216"/>
        <v>21378348</v>
      </c>
      <c r="Q191" s="4">
        <v>23185113</v>
      </c>
      <c r="R191" s="4">
        <v>-1806765</v>
      </c>
      <c r="S191" s="27">
        <v>20472166</v>
      </c>
      <c r="T191" s="27">
        <v>20178203</v>
      </c>
      <c r="U191" s="27">
        <v>21378348</v>
      </c>
      <c r="V191" s="27">
        <v>22842959</v>
      </c>
      <c r="W191" s="27">
        <v>218963</v>
      </c>
      <c r="X191" s="27">
        <v>2965532</v>
      </c>
      <c r="Y191" s="27">
        <v>1276166</v>
      </c>
      <c r="Z191" s="27">
        <v>1391371</v>
      </c>
      <c r="AA191" s="27">
        <f>6825695-SUM(X191:Z191)</f>
        <v>1192626</v>
      </c>
      <c r="AB191" s="27">
        <f t="shared" si="219"/>
        <v>6825695</v>
      </c>
      <c r="AC191" s="27">
        <v>1391371</v>
      </c>
      <c r="AD191" s="27">
        <v>0</v>
      </c>
      <c r="AE191" s="27">
        <f t="shared" si="217"/>
        <v>1391371</v>
      </c>
      <c r="AF191" s="27">
        <v>0</v>
      </c>
      <c r="AG191" s="27">
        <v>265312</v>
      </c>
      <c r="AH191" s="27">
        <v>346948</v>
      </c>
      <c r="AI191" s="27">
        <v>86787</v>
      </c>
      <c r="AJ191" s="28">
        <v>41821</v>
      </c>
      <c r="AK191" s="27">
        <v>0</v>
      </c>
      <c r="AL191" s="27">
        <v>2988081</v>
      </c>
      <c r="AM191" s="27">
        <v>2988081</v>
      </c>
      <c r="AN191" s="29">
        <f t="shared" si="218"/>
        <v>0</v>
      </c>
      <c r="AO191" s="29">
        <v>4.4999999999999998E-2</v>
      </c>
      <c r="AP191" s="2" t="s">
        <v>342</v>
      </c>
      <c r="AQ191" s="27">
        <v>126665</v>
      </c>
      <c r="AR191" s="27">
        <v>105000</v>
      </c>
      <c r="AS191" s="27">
        <v>56263</v>
      </c>
      <c r="AT191" s="27">
        <v>0</v>
      </c>
      <c r="AU191" s="27">
        <v>104546</v>
      </c>
      <c r="AV191" s="27">
        <v>93816</v>
      </c>
      <c r="AW191" s="27">
        <v>268248</v>
      </c>
      <c r="AX191" s="27">
        <f t="shared" si="211"/>
        <v>522873</v>
      </c>
      <c r="AY191" s="27">
        <v>63823</v>
      </c>
      <c r="AZ191" s="27">
        <v>1318</v>
      </c>
      <c r="BA191" s="27">
        <v>104546</v>
      </c>
      <c r="BB191" s="27">
        <f>93816+126862+1480651</f>
        <v>1701329</v>
      </c>
      <c r="BC191" s="27">
        <v>246514</v>
      </c>
      <c r="BD191" s="27">
        <f t="shared" si="212"/>
        <v>2117530</v>
      </c>
      <c r="BE191" s="29">
        <f t="shared" si="213"/>
        <v>5.9249199236535953E-3</v>
      </c>
      <c r="BF191" s="29">
        <f t="shared" si="214"/>
        <v>2.5912763391269283E-2</v>
      </c>
      <c r="BG191" s="29">
        <f t="shared" si="215"/>
        <v>0.25958642828716233</v>
      </c>
      <c r="BH191" s="20"/>
      <c r="BI191" s="20"/>
      <c r="BJ191" s="5"/>
      <c r="BK191" s="5"/>
      <c r="BL191" s="5"/>
      <c r="BM191" s="5"/>
      <c r="BN191" s="5"/>
      <c r="BO191" s="5"/>
      <c r="BP191" s="5"/>
      <c r="BQ191" s="43"/>
      <c r="BR191" s="43"/>
      <c r="BS191" s="43"/>
      <c r="BT191" s="44"/>
      <c r="BU191" s="43"/>
      <c r="BV191" s="5"/>
      <c r="BW191" s="43"/>
      <c r="BX191" s="43"/>
      <c r="BY191" s="43"/>
      <c r="BZ191" s="44"/>
      <c r="CA191" s="43"/>
      <c r="CB191" s="5"/>
      <c r="CC191" s="45"/>
      <c r="CD191" s="45"/>
      <c r="CE191" s="45"/>
      <c r="CF191" s="46"/>
      <c r="CG191" s="45"/>
      <c r="CH191" s="5"/>
      <c r="CI191" s="44"/>
      <c r="CJ191" s="44"/>
      <c r="CK191" s="44"/>
      <c r="CL191" s="44"/>
      <c r="CM191" s="44"/>
      <c r="CN191" s="47"/>
      <c r="CO191" s="5"/>
      <c r="CP191" s="47"/>
      <c r="CQ191" s="47"/>
      <c r="CR191" s="47"/>
      <c r="CS191" s="47"/>
      <c r="CT191" s="47"/>
      <c r="CU191" s="47"/>
    </row>
    <row r="192" spans="1:99" ht="15" customHeight="1">
      <c r="A192" s="5"/>
      <c r="B192" s="37" t="s">
        <v>343</v>
      </c>
      <c r="C192" s="37" t="s">
        <v>252</v>
      </c>
      <c r="D192" s="37" t="s">
        <v>327</v>
      </c>
      <c r="E192" s="50" t="s">
        <v>263</v>
      </c>
      <c r="F192" s="26"/>
      <c r="G192" s="4">
        <f>36172443-34032674-209900</f>
        <v>1929869</v>
      </c>
      <c r="H192" s="4">
        <f>16449051-13043078-1856543</f>
        <v>1549430</v>
      </c>
      <c r="I192" s="4">
        <v>36172443</v>
      </c>
      <c r="J192" s="4">
        <v>20157034</v>
      </c>
      <c r="K192" s="4">
        <v>-3506380</v>
      </c>
      <c r="L192" s="4">
        <v>23462290</v>
      </c>
      <c r="M192" s="4">
        <v>0</v>
      </c>
      <c r="N192" s="4">
        <v>243503</v>
      </c>
      <c r="O192" s="4">
        <v>2149851</v>
      </c>
      <c r="P192" s="4">
        <f t="shared" si="216"/>
        <v>25855644</v>
      </c>
      <c r="Q192" s="4">
        <v>26188798</v>
      </c>
      <c r="R192" s="4">
        <v>-333154</v>
      </c>
      <c r="S192" s="27">
        <v>20361933</v>
      </c>
      <c r="T192" s="27">
        <v>20327336</v>
      </c>
      <c r="U192" s="27">
        <v>21232725</v>
      </c>
      <c r="V192" s="27">
        <v>21332484</v>
      </c>
      <c r="W192" s="27">
        <v>103696</v>
      </c>
      <c r="X192" s="27">
        <v>1856543</v>
      </c>
      <c r="Y192" s="27">
        <v>747390</v>
      </c>
      <c r="Z192" s="27">
        <v>3165306</v>
      </c>
      <c r="AA192" s="27">
        <f>14899621-SUM(X192:Z192)</f>
        <v>9130382</v>
      </c>
      <c r="AB192" s="27">
        <f t="shared" si="219"/>
        <v>14899621</v>
      </c>
      <c r="AC192" s="27">
        <v>3165306</v>
      </c>
      <c r="AD192" s="27">
        <v>0</v>
      </c>
      <c r="AE192" s="27">
        <f t="shared" si="217"/>
        <v>3165306</v>
      </c>
      <c r="AF192" s="27">
        <v>0</v>
      </c>
      <c r="AG192" s="27">
        <v>774008</v>
      </c>
      <c r="AH192" s="27">
        <v>158971</v>
      </c>
      <c r="AI192" s="27">
        <v>73688</v>
      </c>
      <c r="AJ192" s="28">
        <v>41821</v>
      </c>
      <c r="AK192" s="27">
        <v>0</v>
      </c>
      <c r="AL192" s="27">
        <v>1366101</v>
      </c>
      <c r="AM192" s="27">
        <v>1366101</v>
      </c>
      <c r="AN192" s="29">
        <f t="shared" si="218"/>
        <v>0</v>
      </c>
      <c r="AO192" s="29">
        <v>0.04</v>
      </c>
      <c r="AP192" s="29">
        <v>2.5000000000000001E-2</v>
      </c>
      <c r="AQ192" s="27">
        <v>136329</v>
      </c>
      <c r="AR192" s="27">
        <v>136329</v>
      </c>
      <c r="AS192" s="27">
        <v>0</v>
      </c>
      <c r="AT192" s="27">
        <v>0</v>
      </c>
      <c r="AU192" s="27">
        <v>0</v>
      </c>
      <c r="AV192" s="27">
        <v>0</v>
      </c>
      <c r="AW192" s="27">
        <v>157046</v>
      </c>
      <c r="AX192" s="27">
        <f t="shared" si="211"/>
        <v>157046</v>
      </c>
      <c r="AY192" s="27">
        <v>23047</v>
      </c>
      <c r="AZ192" s="27">
        <v>0</v>
      </c>
      <c r="BA192" s="27">
        <v>0</v>
      </c>
      <c r="BB192" s="27">
        <v>0</v>
      </c>
      <c r="BC192" s="27">
        <v>101160</v>
      </c>
      <c r="BD192" s="27">
        <f t="shared" si="212"/>
        <v>124207</v>
      </c>
      <c r="BE192" s="29">
        <f t="shared" si="213"/>
        <v>5.2726979068864034E-3</v>
      </c>
      <c r="BF192" s="29">
        <f t="shared" si="214"/>
        <v>7.7258525170243652E-3</v>
      </c>
      <c r="BG192" s="29">
        <f t="shared" si="215"/>
        <v>0.54735557930794532</v>
      </c>
      <c r="BH192" s="20"/>
      <c r="BI192" s="20"/>
      <c r="BJ192" s="5"/>
      <c r="BK192" s="5"/>
      <c r="BL192" s="5"/>
      <c r="BM192" s="5"/>
      <c r="BN192" s="5"/>
      <c r="BO192" s="5"/>
      <c r="BP192" s="5"/>
      <c r="BQ192" s="43"/>
      <c r="BR192" s="43"/>
      <c r="BS192" s="43"/>
      <c r="BT192" s="44"/>
      <c r="BU192" s="43"/>
      <c r="BV192" s="5"/>
      <c r="BW192" s="43"/>
      <c r="BX192" s="43"/>
      <c r="BY192" s="43"/>
      <c r="BZ192" s="44"/>
      <c r="CA192" s="43"/>
      <c r="CB192" s="5"/>
      <c r="CC192" s="45"/>
      <c r="CD192" s="45"/>
      <c r="CE192" s="45"/>
      <c r="CF192" s="46"/>
      <c r="CG192" s="45"/>
      <c r="CH192" s="5"/>
      <c r="CI192" s="44"/>
      <c r="CJ192" s="44"/>
      <c r="CK192" s="44"/>
      <c r="CL192" s="44"/>
      <c r="CM192" s="44"/>
      <c r="CN192" s="47"/>
      <c r="CO192" s="5"/>
      <c r="CP192" s="47"/>
      <c r="CQ192" s="47"/>
      <c r="CR192" s="47"/>
      <c r="CS192" s="47"/>
      <c r="CT192" s="47"/>
      <c r="CU192" s="47"/>
    </row>
    <row r="193" spans="1:99" ht="15" customHeight="1">
      <c r="A193" s="5"/>
      <c r="B193" s="37" t="s">
        <v>344</v>
      </c>
      <c r="C193" s="37" t="s">
        <v>252</v>
      </c>
      <c r="D193" s="37" t="s">
        <v>327</v>
      </c>
      <c r="E193" s="50" t="s">
        <v>263</v>
      </c>
      <c r="F193" s="26"/>
      <c r="G193" s="4">
        <f>40479048-34663000-858508</f>
        <v>4957540</v>
      </c>
      <c r="H193" s="4">
        <f>7591376-3529810-1727174</f>
        <v>2334392</v>
      </c>
      <c r="I193" s="4">
        <v>40479048</v>
      </c>
      <c r="J193" s="4">
        <v>33259260</v>
      </c>
      <c r="K193" s="4">
        <v>1684330</v>
      </c>
      <c r="L193" s="4">
        <v>17941130</v>
      </c>
      <c r="M193" s="4">
        <v>-514268</v>
      </c>
      <c r="N193" s="4">
        <v>3577714</v>
      </c>
      <c r="O193" s="4">
        <v>3461935</v>
      </c>
      <c r="P193" s="4">
        <f t="shared" si="216"/>
        <v>24466511</v>
      </c>
      <c r="Q193" s="4">
        <v>25974739</v>
      </c>
      <c r="R193" s="4">
        <v>-1508228</v>
      </c>
      <c r="S193" s="27">
        <v>22941068</v>
      </c>
      <c r="T193" s="27">
        <v>22050992</v>
      </c>
      <c r="U193" s="27">
        <v>25904532</v>
      </c>
      <c r="V193" s="27">
        <v>26698676</v>
      </c>
      <c r="W193" s="27">
        <v>9236</v>
      </c>
      <c r="X193" s="27">
        <v>1727174</v>
      </c>
      <c r="Y193" s="27">
        <v>1041565</v>
      </c>
      <c r="Z193" s="27">
        <v>33973</v>
      </c>
      <c r="AA193" s="27">
        <f>5256984-33973-1041565-1727174</f>
        <v>2454272</v>
      </c>
      <c r="AB193" s="27">
        <f t="shared" si="219"/>
        <v>5256984</v>
      </c>
      <c r="AC193" s="27">
        <v>33973</v>
      </c>
      <c r="AD193" s="27">
        <v>0</v>
      </c>
      <c r="AE193" s="27">
        <f t="shared" si="217"/>
        <v>33973</v>
      </c>
      <c r="AF193" s="27">
        <v>0</v>
      </c>
      <c r="AG193" s="27">
        <v>80694</v>
      </c>
      <c r="AH193" s="27">
        <v>79501</v>
      </c>
      <c r="AI193" s="27">
        <v>85137</v>
      </c>
      <c r="AJ193" s="28">
        <v>41821</v>
      </c>
      <c r="AK193" s="27">
        <v>95600</v>
      </c>
      <c r="AL193" s="27">
        <v>573295</v>
      </c>
      <c r="AM193" s="27">
        <v>477695</v>
      </c>
      <c r="AN193" s="29">
        <f t="shared" si="218"/>
        <v>0.16675533538579615</v>
      </c>
      <c r="AO193" s="29">
        <v>6.7500000000000004E-2</v>
      </c>
      <c r="AP193" s="2" t="s">
        <v>345</v>
      </c>
      <c r="AQ193" s="27">
        <v>218536</v>
      </c>
      <c r="AR193" s="27">
        <v>218536</v>
      </c>
      <c r="AS193" s="27">
        <v>0</v>
      </c>
      <c r="AT193" s="27">
        <v>0</v>
      </c>
      <c r="AU193" s="27">
        <v>40088</v>
      </c>
      <c r="AV193" s="27">
        <v>52911</v>
      </c>
      <c r="AW193" s="27">
        <v>14907</v>
      </c>
      <c r="AX193" s="27">
        <f t="shared" si="211"/>
        <v>107906</v>
      </c>
      <c r="AY193" s="27">
        <v>0</v>
      </c>
      <c r="AZ193" s="27">
        <v>400247</v>
      </c>
      <c r="BA193" s="27">
        <v>699710</v>
      </c>
      <c r="BB193" s="27">
        <v>52911</v>
      </c>
      <c r="BC193" s="27">
        <v>-219820</v>
      </c>
      <c r="BD193" s="27">
        <f t="shared" si="212"/>
        <v>933048</v>
      </c>
      <c r="BE193" s="29">
        <f t="shared" si="213"/>
        <v>8.9320459300469938E-3</v>
      </c>
      <c r="BF193" s="29">
        <f t="shared" si="214"/>
        <v>4.8934759941865651E-3</v>
      </c>
      <c r="BG193" s="29">
        <f t="shared" si="215"/>
        <v>0.17229342589958985</v>
      </c>
      <c r="BH193" s="20"/>
      <c r="BI193" s="20"/>
      <c r="BJ193" s="5"/>
      <c r="BK193" s="5"/>
      <c r="BL193" s="5"/>
      <c r="BM193" s="5"/>
      <c r="BN193" s="5"/>
      <c r="BO193" s="5"/>
      <c r="BP193" s="5"/>
      <c r="BQ193" s="43"/>
      <c r="BR193" s="43"/>
      <c r="BS193" s="43"/>
      <c r="BT193" s="44"/>
      <c r="BU193" s="43"/>
      <c r="BV193" s="5"/>
      <c r="BW193" s="43"/>
      <c r="BX193" s="43"/>
      <c r="BY193" s="43"/>
      <c r="BZ193" s="44"/>
      <c r="CA193" s="43"/>
      <c r="CB193" s="5"/>
      <c r="CC193" s="45"/>
      <c r="CD193" s="45"/>
      <c r="CE193" s="45"/>
      <c r="CF193" s="46"/>
      <c r="CG193" s="45"/>
      <c r="CH193" s="5"/>
      <c r="CI193" s="44"/>
      <c r="CJ193" s="44"/>
      <c r="CK193" s="44"/>
      <c r="CL193" s="44"/>
      <c r="CM193" s="44"/>
      <c r="CN193" s="47"/>
      <c r="CO193" s="5"/>
      <c r="CP193" s="47"/>
      <c r="CQ193" s="47"/>
      <c r="CR193" s="47"/>
      <c r="CS193" s="47"/>
      <c r="CT193" s="47"/>
      <c r="CU193" s="47"/>
    </row>
    <row r="194" spans="1:99" ht="15" customHeight="1">
      <c r="A194" s="5"/>
      <c r="B194" s="37" t="s">
        <v>346</v>
      </c>
      <c r="C194" s="37" t="s">
        <v>252</v>
      </c>
      <c r="D194" s="37" t="s">
        <v>327</v>
      </c>
      <c r="E194" s="50" t="s">
        <v>263</v>
      </c>
      <c r="F194" s="26"/>
      <c r="G194" s="4">
        <f>67714348-65997855</f>
        <v>1716493</v>
      </c>
      <c r="H194" s="4">
        <f>36871541-633674-32047141</f>
        <v>4190726</v>
      </c>
      <c r="I194" s="4">
        <v>67714348</v>
      </c>
      <c r="J194" s="4">
        <v>30842807</v>
      </c>
      <c r="K194" s="4">
        <v>-1864872</v>
      </c>
      <c r="L194" s="4">
        <v>31607196</v>
      </c>
      <c r="M194" s="4">
        <v>0</v>
      </c>
      <c r="N194" s="4">
        <v>519992</v>
      </c>
      <c r="O194" s="4">
        <v>3405550</v>
      </c>
      <c r="P194" s="4">
        <f t="shared" si="216"/>
        <v>35532738</v>
      </c>
      <c r="Q194" s="4">
        <v>35382010</v>
      </c>
      <c r="R194" s="4">
        <v>150728</v>
      </c>
      <c r="S194" s="27">
        <v>34757115</v>
      </c>
      <c r="T194" s="27">
        <v>35096499</v>
      </c>
      <c r="U194" s="27">
        <v>35532738</v>
      </c>
      <c r="V194" s="27">
        <v>36560618</v>
      </c>
      <c r="W194" s="27">
        <v>-393266</v>
      </c>
      <c r="X194" s="27">
        <v>3273227</v>
      </c>
      <c r="Y194" s="27">
        <v>0</v>
      </c>
      <c r="Z194" s="27">
        <v>734965</v>
      </c>
      <c r="AA194" s="27">
        <f>35954042-734965-0-3273227</f>
        <v>31945850</v>
      </c>
      <c r="AB194" s="27">
        <f t="shared" si="219"/>
        <v>35954042</v>
      </c>
      <c r="AC194" s="27">
        <v>734965</v>
      </c>
      <c r="AD194" s="27">
        <v>0</v>
      </c>
      <c r="AE194" s="27">
        <f t="shared" si="217"/>
        <v>734965</v>
      </c>
      <c r="AF194" s="27">
        <v>0</v>
      </c>
      <c r="AG194" s="27">
        <v>209638</v>
      </c>
      <c r="AH194" s="27">
        <v>207543</v>
      </c>
      <c r="AI194" s="27">
        <v>101291</v>
      </c>
      <c r="AJ194" s="2" t="s">
        <v>274</v>
      </c>
      <c r="AK194" s="27">
        <v>0</v>
      </c>
      <c r="AL194" s="27">
        <v>1849000</v>
      </c>
      <c r="AM194" s="27">
        <v>1849000</v>
      </c>
      <c r="AN194" s="29">
        <f t="shared" si="218"/>
        <v>0</v>
      </c>
      <c r="AO194" s="29">
        <v>0.04</v>
      </c>
      <c r="AP194" s="2" t="s">
        <v>347</v>
      </c>
      <c r="AQ194" s="27">
        <v>209638</v>
      </c>
      <c r="AR194" s="27">
        <v>101291</v>
      </c>
      <c r="AS194" s="27">
        <v>0</v>
      </c>
      <c r="AT194" s="27">
        <v>1774501</v>
      </c>
      <c r="AU194" s="27">
        <v>0</v>
      </c>
      <c r="AV194" s="27">
        <v>125471</v>
      </c>
      <c r="AW194" s="27">
        <v>0</v>
      </c>
      <c r="AX194" s="27">
        <f t="shared" si="211"/>
        <v>1899972</v>
      </c>
      <c r="AY194" s="27">
        <v>10372</v>
      </c>
      <c r="AZ194" s="27">
        <v>1928901</v>
      </c>
      <c r="BA194" s="27">
        <v>440053</v>
      </c>
      <c r="BB194" s="27">
        <v>170893</v>
      </c>
      <c r="BC194" s="27">
        <v>-1292525</v>
      </c>
      <c r="BD194" s="27">
        <f t="shared" si="212"/>
        <v>1257694</v>
      </c>
      <c r="BE194" s="29">
        <f t="shared" si="213"/>
        <v>5.8998549450368842E-3</v>
      </c>
      <c r="BF194" s="29">
        <f t="shared" si="214"/>
        <v>5.4135656094928444E-2</v>
      </c>
      <c r="BG194" s="29">
        <f t="shared" si="215"/>
        <v>1.011856784017038</v>
      </c>
      <c r="BH194" s="20"/>
      <c r="BI194" s="20"/>
      <c r="BJ194" s="5"/>
      <c r="BK194" s="5"/>
      <c r="BL194" s="5"/>
      <c r="BM194" s="5"/>
      <c r="BN194" s="5"/>
      <c r="BO194" s="5"/>
      <c r="BP194" s="5"/>
      <c r="BQ194" s="43"/>
      <c r="BR194" s="43"/>
      <c r="BS194" s="43"/>
      <c r="BT194" s="44"/>
      <c r="BU194" s="43"/>
      <c r="BV194" s="5"/>
      <c r="BW194" s="43"/>
      <c r="BX194" s="43"/>
      <c r="BY194" s="43"/>
      <c r="BZ194" s="44"/>
      <c r="CA194" s="43"/>
      <c r="CB194" s="5"/>
      <c r="CC194" s="45"/>
      <c r="CD194" s="45"/>
      <c r="CE194" s="45"/>
      <c r="CF194" s="46"/>
      <c r="CG194" s="45"/>
      <c r="CH194" s="5"/>
      <c r="CI194" s="44"/>
      <c r="CJ194" s="44"/>
      <c r="CK194" s="44"/>
      <c r="CL194" s="44"/>
      <c r="CM194" s="44"/>
      <c r="CN194" s="47"/>
      <c r="CO194" s="5"/>
      <c r="CP194" s="47"/>
      <c r="CQ194" s="47"/>
      <c r="CR194" s="47"/>
      <c r="CS194" s="47"/>
      <c r="CT194" s="47"/>
      <c r="CU194" s="47"/>
    </row>
    <row r="195" spans="1:99" ht="15" customHeight="1">
      <c r="A195" s="5"/>
      <c r="B195" s="37" t="s">
        <v>348</v>
      </c>
      <c r="C195" s="37" t="s">
        <v>252</v>
      </c>
      <c r="D195" s="37" t="s">
        <v>327</v>
      </c>
      <c r="E195" s="50" t="s">
        <v>263</v>
      </c>
      <c r="F195" s="26"/>
      <c r="G195" s="4">
        <f>50447918-45316855</f>
        <v>5131063</v>
      </c>
      <c r="H195" s="4">
        <f>14814780-11266491</f>
        <v>3548289</v>
      </c>
      <c r="I195" s="4">
        <v>50447918</v>
      </c>
      <c r="J195" s="4">
        <v>35972339</v>
      </c>
      <c r="K195" s="4">
        <v>934529</v>
      </c>
      <c r="L195" s="4">
        <v>39902209</v>
      </c>
      <c r="M195" s="4">
        <v>0</v>
      </c>
      <c r="N195" s="4">
        <v>732331</v>
      </c>
      <c r="O195" s="4">
        <v>5663477</v>
      </c>
      <c r="P195" s="4">
        <f t="shared" si="216"/>
        <v>46298017</v>
      </c>
      <c r="Q195" s="4">
        <v>46061459</v>
      </c>
      <c r="R195" s="4">
        <v>236558</v>
      </c>
      <c r="S195" s="27">
        <v>44870464</v>
      </c>
      <c r="T195" s="27">
        <v>44895466</v>
      </c>
      <c r="U195" s="27">
        <v>45954851</v>
      </c>
      <c r="V195" s="27">
        <v>46324590</v>
      </c>
      <c r="W195" s="27">
        <v>-247265</v>
      </c>
      <c r="X195" s="27">
        <v>1878965</v>
      </c>
      <c r="Y195" s="27">
        <v>0</v>
      </c>
      <c r="Z195" s="27">
        <v>1865284</v>
      </c>
      <c r="AA195" s="27">
        <f>13145456-1865284-0-1878965</f>
        <v>9401207</v>
      </c>
      <c r="AB195" s="27">
        <f t="shared" si="219"/>
        <v>13145456</v>
      </c>
      <c r="AC195" s="27">
        <v>1865284</v>
      </c>
      <c r="AD195" s="27">
        <v>0</v>
      </c>
      <c r="AE195" s="27">
        <f t="shared" si="217"/>
        <v>1865284</v>
      </c>
      <c r="AF195" s="27">
        <v>0</v>
      </c>
      <c r="AG195" s="27">
        <v>528266</v>
      </c>
      <c r="AH195" s="27">
        <v>515126</v>
      </c>
      <c r="AI195" s="27">
        <v>366323</v>
      </c>
      <c r="AJ195" s="28">
        <v>41821</v>
      </c>
      <c r="AK195" s="27">
        <v>0</v>
      </c>
      <c r="AL195" s="27">
        <v>5954567</v>
      </c>
      <c r="AM195" s="27">
        <f>AL195-AK195</f>
        <v>5954567</v>
      </c>
      <c r="AN195" s="29">
        <f t="shared" si="218"/>
        <v>0</v>
      </c>
      <c r="AO195" s="29">
        <v>0.04</v>
      </c>
      <c r="AP195" s="29">
        <v>2.75E-2</v>
      </c>
      <c r="AQ195" s="27"/>
      <c r="AR195" s="27"/>
      <c r="AS195" s="27">
        <v>0</v>
      </c>
      <c r="AT195" s="27">
        <v>0</v>
      </c>
      <c r="AU195" s="27">
        <v>353998</v>
      </c>
      <c r="AV195" s="27">
        <v>145404</v>
      </c>
      <c r="AW195" s="27">
        <v>254938</v>
      </c>
      <c r="AX195" s="27">
        <f t="shared" si="211"/>
        <v>754340</v>
      </c>
      <c r="AY195" s="27">
        <v>0</v>
      </c>
      <c r="AZ195" s="27">
        <v>31238</v>
      </c>
      <c r="BA195" s="27">
        <v>358296</v>
      </c>
      <c r="BB195" s="27">
        <v>1661674</v>
      </c>
      <c r="BC195" s="27">
        <v>254938</v>
      </c>
      <c r="BD195" s="27">
        <f t="shared" si="212"/>
        <v>2306146</v>
      </c>
      <c r="BE195" s="29">
        <f t="shared" si="213"/>
        <v>0</v>
      </c>
      <c r="BF195" s="29">
        <f t="shared" si="214"/>
        <v>1.6802142113860673E-2</v>
      </c>
      <c r="BG195" s="29">
        <f t="shared" si="215"/>
        <v>0.28393129666871048</v>
      </c>
      <c r="BH195" s="20"/>
      <c r="BI195" s="20"/>
      <c r="BJ195" s="5"/>
      <c r="BK195" s="5"/>
      <c r="BL195" s="5"/>
      <c r="BM195" s="5"/>
      <c r="BN195" s="5"/>
      <c r="BO195" s="5"/>
      <c r="BP195" s="5"/>
      <c r="BQ195" s="43"/>
      <c r="BR195" s="43"/>
      <c r="BS195" s="43"/>
      <c r="BT195" s="44"/>
      <c r="BU195" s="43"/>
      <c r="BV195" s="5"/>
      <c r="BW195" s="43"/>
      <c r="BX195" s="43"/>
      <c r="BY195" s="43"/>
      <c r="BZ195" s="44"/>
      <c r="CA195" s="43"/>
      <c r="CB195" s="5"/>
      <c r="CC195" s="45"/>
      <c r="CD195" s="45"/>
      <c r="CE195" s="45"/>
      <c r="CF195" s="46"/>
      <c r="CG195" s="45"/>
      <c r="CH195" s="5"/>
      <c r="CI195" s="44"/>
      <c r="CJ195" s="44"/>
      <c r="CK195" s="44"/>
      <c r="CL195" s="44"/>
      <c r="CM195" s="44"/>
      <c r="CN195" s="47"/>
      <c r="CO195" s="5"/>
      <c r="CP195" s="47"/>
      <c r="CQ195" s="47"/>
      <c r="CR195" s="47"/>
      <c r="CS195" s="47"/>
      <c r="CT195" s="47"/>
      <c r="CU195" s="47"/>
    </row>
    <row r="196" spans="1:99" ht="15" customHeight="1">
      <c r="A196" s="5"/>
      <c r="B196" s="37" t="s">
        <v>349</v>
      </c>
      <c r="C196" s="37" t="s">
        <v>252</v>
      </c>
      <c r="D196" s="37" t="s">
        <v>327</v>
      </c>
      <c r="E196" s="50" t="s">
        <v>263</v>
      </c>
      <c r="F196" s="26"/>
      <c r="G196" s="4">
        <f>42372759-38351782-200000</f>
        <v>3820977</v>
      </c>
      <c r="H196" s="4">
        <f>15475589-12728562-2158193</f>
        <v>588834</v>
      </c>
      <c r="I196" s="4">
        <v>42372759</v>
      </c>
      <c r="J196" s="4">
        <v>27760759</v>
      </c>
      <c r="K196" s="4">
        <v>-698446</v>
      </c>
      <c r="L196" s="4">
        <v>35742655</v>
      </c>
      <c r="M196" s="4">
        <v>733275</v>
      </c>
      <c r="N196" s="4">
        <v>1567543</v>
      </c>
      <c r="O196" s="4">
        <v>4447037</v>
      </c>
      <c r="P196" s="4">
        <f t="shared" si="216"/>
        <v>42490510</v>
      </c>
      <c r="Q196" s="4">
        <v>41953460</v>
      </c>
      <c r="R196" s="4">
        <v>537050</v>
      </c>
      <c r="S196" s="27">
        <v>39775341</v>
      </c>
      <c r="T196" s="27">
        <v>40142326</v>
      </c>
      <c r="U196" s="27">
        <v>42676231</v>
      </c>
      <c r="V196" s="27">
        <v>43559000</v>
      </c>
      <c r="W196" s="27">
        <v>-169689</v>
      </c>
      <c r="X196" s="27">
        <v>2158193</v>
      </c>
      <c r="Y196" s="27">
        <v>1537725</v>
      </c>
      <c r="Z196" s="27">
        <v>2989276</v>
      </c>
      <c r="AA196" s="27">
        <f>14886755-2989276-1537725-2158193</f>
        <v>8201561</v>
      </c>
      <c r="AB196" s="27">
        <f t="shared" si="219"/>
        <v>14886755</v>
      </c>
      <c r="AC196" s="27">
        <v>2989276</v>
      </c>
      <c r="AD196" s="27">
        <v>0</v>
      </c>
      <c r="AE196" s="27">
        <f t="shared" si="217"/>
        <v>2989276</v>
      </c>
      <c r="AF196" s="27">
        <v>0</v>
      </c>
      <c r="AG196" s="27">
        <v>547668</v>
      </c>
      <c r="AH196" s="27">
        <v>506371</v>
      </c>
      <c r="AI196" s="27">
        <v>161374</v>
      </c>
      <c r="AJ196" s="28">
        <v>41821</v>
      </c>
      <c r="AK196" s="27">
        <v>0</v>
      </c>
      <c r="AL196" s="27">
        <v>6351172</v>
      </c>
      <c r="AM196" s="27">
        <v>6351172</v>
      </c>
      <c r="AN196" s="29">
        <f t="shared" si="218"/>
        <v>0</v>
      </c>
      <c r="AO196" s="29">
        <v>0.05</v>
      </c>
      <c r="AP196" s="29"/>
      <c r="AQ196" s="27">
        <v>330684</v>
      </c>
      <c r="AR196" s="27">
        <v>330684</v>
      </c>
      <c r="AS196" s="27">
        <v>0</v>
      </c>
      <c r="AT196" s="27">
        <v>2081747</v>
      </c>
      <c r="AU196" s="27">
        <v>0</v>
      </c>
      <c r="AV196" s="27">
        <v>0</v>
      </c>
      <c r="AW196" s="27">
        <v>0</v>
      </c>
      <c r="AX196" s="27">
        <f t="shared" si="211"/>
        <v>2081747</v>
      </c>
      <c r="AY196" s="27">
        <v>640031</v>
      </c>
      <c r="AZ196" s="27">
        <v>2111811</v>
      </c>
      <c r="BA196" s="27">
        <v>637251</v>
      </c>
      <c r="BB196" s="27">
        <v>0</v>
      </c>
      <c r="BC196" s="27">
        <v>-27056</v>
      </c>
      <c r="BD196" s="27">
        <f t="shared" si="212"/>
        <v>3362037</v>
      </c>
      <c r="BE196" s="29">
        <f t="shared" si="213"/>
        <v>7.7825377949099694E-3</v>
      </c>
      <c r="BF196" s="29">
        <f t="shared" si="214"/>
        <v>5.1859152357040798E-2</v>
      </c>
      <c r="BG196" s="29">
        <f t="shared" si="215"/>
        <v>0.31416497472023752</v>
      </c>
      <c r="BH196" s="20"/>
      <c r="BI196" s="20"/>
      <c r="BJ196" s="5"/>
      <c r="BK196" s="5"/>
      <c r="BL196" s="5"/>
      <c r="BM196" s="5"/>
      <c r="BN196" s="5"/>
      <c r="BO196" s="5"/>
      <c r="BP196" s="5"/>
      <c r="BQ196" s="43"/>
      <c r="BR196" s="43"/>
      <c r="BS196" s="43"/>
      <c r="BT196" s="44"/>
      <c r="BU196" s="43"/>
      <c r="BV196" s="5"/>
      <c r="BW196" s="43"/>
      <c r="BX196" s="43"/>
      <c r="BY196" s="43"/>
      <c r="BZ196" s="44"/>
      <c r="CA196" s="43"/>
      <c r="CB196" s="5"/>
      <c r="CC196" s="45"/>
      <c r="CD196" s="45"/>
      <c r="CE196" s="45"/>
      <c r="CF196" s="46"/>
      <c r="CG196" s="45"/>
      <c r="CH196" s="5"/>
      <c r="CI196" s="44"/>
      <c r="CJ196" s="44"/>
      <c r="CK196" s="44"/>
      <c r="CL196" s="44"/>
      <c r="CM196" s="44"/>
      <c r="CN196" s="47"/>
      <c r="CO196" s="5"/>
      <c r="CP196" s="47"/>
      <c r="CQ196" s="47"/>
      <c r="CR196" s="47"/>
      <c r="CS196" s="47"/>
      <c r="CT196" s="47"/>
      <c r="CU196" s="47"/>
    </row>
    <row r="197" spans="1:99" ht="15" customHeight="1">
      <c r="A197" s="5"/>
      <c r="B197" s="37" t="s">
        <v>350</v>
      </c>
      <c r="C197" s="37" t="s">
        <v>252</v>
      </c>
      <c r="D197" s="37" t="s">
        <v>327</v>
      </c>
      <c r="E197" s="50" t="s">
        <v>263</v>
      </c>
      <c r="F197" s="26"/>
      <c r="G197" s="4">
        <f>42660-6400</f>
        <v>36260</v>
      </c>
      <c r="H197" s="4">
        <v>14745</v>
      </c>
      <c r="I197" s="4">
        <v>42660</v>
      </c>
      <c r="J197" s="4">
        <v>27915</v>
      </c>
      <c r="K197" s="4">
        <v>21515</v>
      </c>
      <c r="L197" s="4"/>
      <c r="M197" s="4"/>
      <c r="N197" s="4"/>
      <c r="O197" s="4"/>
      <c r="P197" s="4"/>
      <c r="Q197" s="4"/>
      <c r="R197" s="4"/>
      <c r="S197" s="27">
        <v>428619</v>
      </c>
      <c r="T197" s="27">
        <v>419867</v>
      </c>
      <c r="U197" s="27"/>
      <c r="V197" s="27"/>
      <c r="W197" s="27">
        <v>-8752</v>
      </c>
      <c r="X197" s="27"/>
      <c r="Y197" s="27"/>
      <c r="Z197" s="27"/>
      <c r="AA197" s="27"/>
      <c r="AB197" s="27"/>
      <c r="AC197" s="27"/>
      <c r="AD197" s="27"/>
      <c r="AE197" s="27"/>
      <c r="AF197" s="27"/>
      <c r="AG197" s="27"/>
      <c r="AH197" s="27"/>
      <c r="AI197" s="27"/>
      <c r="AJ197" s="28"/>
      <c r="AK197" s="27"/>
      <c r="AL197" s="27"/>
      <c r="AM197" s="27"/>
      <c r="AN197" s="29"/>
      <c r="AO197" s="29"/>
      <c r="AP197" s="20"/>
      <c r="AQ197" s="27"/>
      <c r="AR197" s="27"/>
      <c r="AS197" s="27">
        <v>1678</v>
      </c>
      <c r="AT197" s="27">
        <v>0</v>
      </c>
      <c r="AU197" s="27">
        <v>0</v>
      </c>
      <c r="AV197" s="27">
        <v>0</v>
      </c>
      <c r="AW197" s="27">
        <v>19837</v>
      </c>
      <c r="AX197" s="27">
        <f t="shared" si="211"/>
        <v>21515</v>
      </c>
      <c r="AY197" s="27">
        <v>0</v>
      </c>
      <c r="AZ197" s="27">
        <v>0</v>
      </c>
      <c r="BA197" s="27">
        <v>0</v>
      </c>
      <c r="BB197" s="27">
        <v>0</v>
      </c>
      <c r="BC197" s="27">
        <v>0</v>
      </c>
      <c r="BD197" s="27">
        <f t="shared" si="212"/>
        <v>0</v>
      </c>
      <c r="BE197" s="20" t="e">
        <f t="shared" si="213"/>
        <v>#DIV/0!</v>
      </c>
      <c r="BF197" s="29">
        <f t="shared" si="214"/>
        <v>5.124241724165033E-2</v>
      </c>
      <c r="BG197" s="20" t="e">
        <f t="shared" si="215"/>
        <v>#DIV/0!</v>
      </c>
      <c r="BH197" s="20"/>
      <c r="BI197" s="20"/>
      <c r="BJ197" s="5"/>
      <c r="BK197" s="5"/>
      <c r="BL197" s="5"/>
      <c r="BM197" s="5"/>
      <c r="BN197" s="5"/>
      <c r="BO197" s="5"/>
      <c r="BP197" s="5"/>
      <c r="BQ197" s="43"/>
      <c r="BR197" s="43"/>
      <c r="BS197" s="43"/>
      <c r="BT197" s="44"/>
      <c r="BU197" s="43"/>
      <c r="BV197" s="5"/>
      <c r="BW197" s="43"/>
      <c r="BX197" s="43"/>
      <c r="BY197" s="43"/>
      <c r="BZ197" s="44"/>
      <c r="CA197" s="43"/>
      <c r="CB197" s="5"/>
      <c r="CC197" s="45"/>
      <c r="CD197" s="45"/>
      <c r="CE197" s="45"/>
      <c r="CF197" s="46"/>
      <c r="CG197" s="45"/>
      <c r="CH197" s="5"/>
      <c r="CI197" s="44"/>
      <c r="CJ197" s="44"/>
      <c r="CK197" s="44"/>
      <c r="CL197" s="44"/>
      <c r="CM197" s="44"/>
      <c r="CN197" s="47"/>
      <c r="CO197" s="5"/>
      <c r="CP197" s="47"/>
      <c r="CQ197" s="47"/>
      <c r="CR197" s="47"/>
      <c r="CS197" s="47"/>
      <c r="CT197" s="47"/>
      <c r="CU197" s="47"/>
    </row>
    <row r="198" spans="1:99" ht="15" customHeight="1">
      <c r="A198" s="5"/>
      <c r="B198" s="37" t="s">
        <v>351</v>
      </c>
      <c r="C198" s="37" t="s">
        <v>252</v>
      </c>
      <c r="D198" s="37" t="s">
        <v>327</v>
      </c>
      <c r="E198" s="50" t="s">
        <v>263</v>
      </c>
      <c r="F198" s="26"/>
      <c r="G198" s="4">
        <f>60493263-55836170-501479</f>
        <v>4155614</v>
      </c>
      <c r="H198" s="4">
        <f>20881396-18072687-1984755</f>
        <v>823954</v>
      </c>
      <c r="I198" s="4">
        <v>60493263</v>
      </c>
      <c r="J198" s="4">
        <v>40725745</v>
      </c>
      <c r="K198" s="4">
        <v>2268572</v>
      </c>
      <c r="L198" s="4">
        <v>37359715</v>
      </c>
      <c r="M198" s="4">
        <v>52199</v>
      </c>
      <c r="N198" s="4">
        <v>898729</v>
      </c>
      <c r="O198" s="4">
        <v>6416637</v>
      </c>
      <c r="P198" s="4">
        <f>L198+M198+N198+O198</f>
        <v>44727280</v>
      </c>
      <c r="Q198" s="4">
        <v>45806926</v>
      </c>
      <c r="R198" s="4">
        <v>-1079646</v>
      </c>
      <c r="S198" s="27">
        <v>43139606</v>
      </c>
      <c r="T198" s="27">
        <v>41480878</v>
      </c>
      <c r="U198" s="27">
        <v>44867219</v>
      </c>
      <c r="V198" s="27">
        <v>45428861</v>
      </c>
      <c r="W198" s="27">
        <v>-257180</v>
      </c>
      <c r="X198" s="27">
        <v>1984755</v>
      </c>
      <c r="Y198" s="27">
        <v>428177</v>
      </c>
      <c r="Z198" s="27">
        <v>155662</v>
      </c>
      <c r="AA198" s="27">
        <f>20057442-155662-428177-1984755</f>
        <v>17488848</v>
      </c>
      <c r="AB198" s="27">
        <f>SUM(X198:AA198)</f>
        <v>20057442</v>
      </c>
      <c r="AC198" s="27">
        <v>155662</v>
      </c>
      <c r="AD198" s="27">
        <v>0</v>
      </c>
      <c r="AE198" s="27">
        <f>AC198+AD198</f>
        <v>155662</v>
      </c>
      <c r="AF198" s="27">
        <v>0</v>
      </c>
      <c r="AG198" s="27">
        <v>127959</v>
      </c>
      <c r="AH198" s="27">
        <v>150411</v>
      </c>
      <c r="AI198" s="27">
        <v>108729</v>
      </c>
      <c r="AJ198" s="2" t="s">
        <v>274</v>
      </c>
      <c r="AK198" s="27">
        <v>0</v>
      </c>
      <c r="AL198" s="27">
        <v>1677771</v>
      </c>
      <c r="AM198" s="27">
        <v>1677771</v>
      </c>
      <c r="AN198" s="29">
        <f>AK198/AL198</f>
        <v>0</v>
      </c>
      <c r="AO198" s="29">
        <v>3.5000000000000003E-2</v>
      </c>
      <c r="AP198" s="29">
        <v>2.75E-2</v>
      </c>
      <c r="AQ198" s="27">
        <v>126038</v>
      </c>
      <c r="AR198" s="27">
        <v>127016</v>
      </c>
      <c r="AS198" s="27">
        <v>0</v>
      </c>
      <c r="AT198" s="27">
        <v>0</v>
      </c>
      <c r="AU198" s="27">
        <v>0</v>
      </c>
      <c r="AV198" s="27">
        <f t="shared" ref="AV198:BB198" si="220">363869+178866</f>
        <v>542735</v>
      </c>
      <c r="AW198" s="27">
        <f t="shared" ref="AW198:BC198" si="221">332005+1907478</f>
        <v>2239483</v>
      </c>
      <c r="AX198" s="27">
        <f t="shared" si="211"/>
        <v>2782218</v>
      </c>
      <c r="AY198" s="27">
        <v>3766</v>
      </c>
      <c r="AZ198" s="27">
        <v>0</v>
      </c>
      <c r="BA198" s="27">
        <f>195780+16579+373194</f>
        <v>585553</v>
      </c>
      <c r="BB198" s="27">
        <f t="shared" si="220"/>
        <v>542735</v>
      </c>
      <c r="BC198" s="27">
        <f t="shared" si="221"/>
        <v>2239483</v>
      </c>
      <c r="BD198" s="27">
        <f t="shared" si="212"/>
        <v>3371537</v>
      </c>
      <c r="BE198" s="29">
        <f t="shared" si="213"/>
        <v>2.8179223060288932E-3</v>
      </c>
      <c r="BF198" s="29">
        <f t="shared" si="214"/>
        <v>6.7072302567944678E-2</v>
      </c>
      <c r="BG198" s="29">
        <f t="shared" si="215"/>
        <v>0.43886560953404724</v>
      </c>
      <c r="BH198" s="20"/>
      <c r="BI198" s="20"/>
      <c r="BJ198" s="5"/>
      <c r="BK198" s="5"/>
      <c r="BL198" s="5"/>
      <c r="BM198" s="5"/>
      <c r="BN198" s="5"/>
      <c r="BO198" s="5"/>
      <c r="BP198" s="5"/>
      <c r="BQ198" s="43"/>
      <c r="BR198" s="43"/>
      <c r="BS198" s="43"/>
      <c r="BT198" s="44"/>
      <c r="BU198" s="43"/>
      <c r="BV198" s="5"/>
      <c r="BW198" s="43"/>
      <c r="BX198" s="43"/>
      <c r="BY198" s="43"/>
      <c r="BZ198" s="44"/>
      <c r="CA198" s="43"/>
      <c r="CB198" s="5"/>
      <c r="CC198" s="45"/>
      <c r="CD198" s="45"/>
      <c r="CE198" s="45"/>
      <c r="CF198" s="46"/>
      <c r="CG198" s="45"/>
      <c r="CH198" s="5"/>
      <c r="CI198" s="44"/>
      <c r="CJ198" s="44"/>
      <c r="CK198" s="44"/>
      <c r="CL198" s="44"/>
      <c r="CM198" s="44"/>
      <c r="CN198" s="47"/>
      <c r="CO198" s="5"/>
      <c r="CP198" s="47"/>
      <c r="CQ198" s="47"/>
      <c r="CR198" s="47"/>
      <c r="CS198" s="47"/>
      <c r="CT198" s="47"/>
      <c r="CU198" s="47"/>
    </row>
    <row r="199" spans="1:99" ht="15" customHeight="1">
      <c r="A199" s="5"/>
      <c r="B199" s="37" t="s">
        <v>352</v>
      </c>
      <c r="C199" s="37" t="s">
        <v>252</v>
      </c>
      <c r="D199" s="37" t="s">
        <v>253</v>
      </c>
      <c r="E199" s="26">
        <v>42551</v>
      </c>
      <c r="F199" s="26"/>
      <c r="G199" s="4">
        <v>440138</v>
      </c>
      <c r="H199" s="4">
        <v>100568</v>
      </c>
      <c r="I199" s="4">
        <v>3268710</v>
      </c>
      <c r="J199" s="4">
        <v>2851264</v>
      </c>
      <c r="K199" s="4">
        <v>198278</v>
      </c>
      <c r="L199" s="4">
        <v>1881186</v>
      </c>
      <c r="M199" s="4">
        <v>66285</v>
      </c>
      <c r="N199" s="4">
        <f>66285+37154</f>
        <v>103439</v>
      </c>
      <c r="O199" s="4">
        <v>1315602</v>
      </c>
      <c r="P199" s="4">
        <f>O199+N199+M199+L199</f>
        <v>3366512</v>
      </c>
      <c r="Q199" s="4">
        <v>2118901</v>
      </c>
      <c r="R199" s="4">
        <v>-180812</v>
      </c>
      <c r="S199" s="27"/>
      <c r="T199" s="27"/>
      <c r="U199" s="27"/>
      <c r="V199" s="27"/>
      <c r="W199" s="27"/>
      <c r="X199" s="27">
        <v>11006</v>
      </c>
      <c r="Y199" s="27">
        <v>0</v>
      </c>
      <c r="Z199" s="27">
        <v>0</v>
      </c>
      <c r="AA199" s="27">
        <f>AB199-X199-Y199-Z199</f>
        <v>82010</v>
      </c>
      <c r="AB199" s="27">
        <v>93016</v>
      </c>
      <c r="AC199" s="27"/>
      <c r="AD199" s="27"/>
      <c r="AE199" s="27"/>
      <c r="AF199" s="27"/>
      <c r="AG199" s="27"/>
      <c r="AH199" s="27"/>
      <c r="AI199" s="27"/>
      <c r="AJ199" s="28"/>
      <c r="AK199" s="20"/>
      <c r="AL199" s="20"/>
      <c r="AM199" s="20"/>
      <c r="AN199" s="20"/>
      <c r="AO199" s="29">
        <v>0.08</v>
      </c>
      <c r="AP199" s="29">
        <v>3.2500000000000001E-2</v>
      </c>
      <c r="AQ199" s="27">
        <v>24900</v>
      </c>
      <c r="AR199" s="27">
        <v>24900</v>
      </c>
      <c r="AS199" s="27"/>
      <c r="AT199" s="27"/>
      <c r="AU199" s="27"/>
      <c r="AV199" s="27"/>
      <c r="AW199" s="27"/>
      <c r="AX199" s="27"/>
      <c r="AY199" s="27"/>
      <c r="AZ199" s="27"/>
      <c r="BA199" s="27"/>
      <c r="BB199" s="27"/>
      <c r="BC199" s="27"/>
      <c r="BD199" s="27"/>
      <c r="BE199" s="29">
        <f t="shared" si="213"/>
        <v>7.3963793980238298E-3</v>
      </c>
      <c r="BF199" s="20" t="e">
        <f t="shared" si="214"/>
        <v>#DIV/0!</v>
      </c>
      <c r="BG199" s="29">
        <f t="shared" si="215"/>
        <v>2.7629784180184119E-2</v>
      </c>
      <c r="BH199" s="20"/>
      <c r="BI199" s="20"/>
      <c r="BJ199" s="5"/>
      <c r="BK199" s="5"/>
      <c r="BL199" s="5"/>
      <c r="BM199" s="5"/>
      <c r="BN199" s="5"/>
      <c r="BO199" s="5"/>
      <c r="BP199" s="5"/>
      <c r="BQ199" s="43"/>
      <c r="BR199" s="43"/>
      <c r="BS199" s="43"/>
      <c r="BT199" s="44"/>
      <c r="BU199" s="43"/>
      <c r="BV199" s="5"/>
      <c r="BW199" s="43"/>
      <c r="BX199" s="43"/>
      <c r="BY199" s="43"/>
      <c r="BZ199" s="44"/>
      <c r="CA199" s="43"/>
      <c r="CB199" s="5"/>
      <c r="CC199" s="45"/>
      <c r="CD199" s="45"/>
      <c r="CE199" s="45"/>
      <c r="CF199" s="46"/>
      <c r="CG199" s="45"/>
      <c r="CH199" s="5"/>
      <c r="CI199" s="44"/>
      <c r="CJ199" s="44"/>
      <c r="CK199" s="44"/>
      <c r="CL199" s="44"/>
      <c r="CM199" s="44"/>
      <c r="CN199" s="47"/>
      <c r="CO199" s="5"/>
      <c r="CP199" s="47"/>
      <c r="CQ199" s="47"/>
      <c r="CR199" s="47"/>
      <c r="CS199" s="47"/>
      <c r="CT199" s="47"/>
      <c r="CU199" s="47"/>
    </row>
    <row r="200" spans="1:99" ht="15" customHeight="1">
      <c r="A200" s="5"/>
      <c r="B200" s="37" t="s">
        <v>353</v>
      </c>
      <c r="C200" s="37" t="s">
        <v>252</v>
      </c>
      <c r="D200" s="37" t="s">
        <v>253</v>
      </c>
      <c r="E200" s="26">
        <v>42551</v>
      </c>
      <c r="F200" s="26"/>
      <c r="G200" s="4">
        <f>1775597+11726931+3435817+702388+101400914</f>
        <v>119041647</v>
      </c>
      <c r="H200" s="4">
        <f>5454130+3685089+1411080</f>
        <v>10550299</v>
      </c>
      <c r="I200" s="4">
        <v>213835091</v>
      </c>
      <c r="J200" s="4">
        <v>14380296</v>
      </c>
      <c r="K200" s="4">
        <v>208697</v>
      </c>
      <c r="L200" s="4">
        <v>20008068</v>
      </c>
      <c r="M200" s="4">
        <v>0</v>
      </c>
      <c r="N200" s="4">
        <v>0</v>
      </c>
      <c r="O200" s="4">
        <v>0</v>
      </c>
      <c r="P200" s="4">
        <f t="shared" ref="P200:P227" si="222">L200+M200+N200+O200</f>
        <v>20008068</v>
      </c>
      <c r="Q200" s="4">
        <v>19552308</v>
      </c>
      <c r="R200" s="4">
        <f>P200-Q200</f>
        <v>455760</v>
      </c>
      <c r="S200" s="27"/>
      <c r="T200" s="27"/>
      <c r="U200" s="27"/>
      <c r="V200" s="27"/>
      <c r="W200" s="27"/>
      <c r="X200" s="27"/>
      <c r="Y200" s="27"/>
      <c r="Z200" s="27"/>
      <c r="AA200" s="27">
        <v>188904496</v>
      </c>
      <c r="AB200" s="27">
        <f>X200+Y200+Z200+AA200</f>
        <v>188904496</v>
      </c>
      <c r="AC200" s="27"/>
      <c r="AD200" s="27"/>
      <c r="AE200" s="27"/>
      <c r="AF200" s="27"/>
      <c r="AG200" s="27"/>
      <c r="AH200" s="27"/>
      <c r="AI200" s="27"/>
      <c r="AJ200" s="28"/>
      <c r="AK200" s="20"/>
      <c r="AL200" s="20"/>
      <c r="AM200" s="20"/>
      <c r="AN200" s="20"/>
      <c r="AO200" s="20"/>
      <c r="AP200" s="20"/>
      <c r="AQ200" s="27"/>
      <c r="AR200" s="27"/>
      <c r="AS200" s="27"/>
      <c r="AT200" s="27"/>
      <c r="AU200" s="27"/>
      <c r="AV200" s="27"/>
      <c r="AW200" s="27"/>
      <c r="AX200" s="27"/>
      <c r="AY200" s="27"/>
      <c r="AZ200" s="27"/>
      <c r="BA200" s="27"/>
      <c r="BB200" s="27"/>
      <c r="BC200" s="27"/>
      <c r="BD200" s="27"/>
      <c r="BE200" s="29">
        <f t="shared" si="213"/>
        <v>0</v>
      </c>
      <c r="BF200" s="20" t="e">
        <f t="shared" si="214"/>
        <v>#DIV/0!</v>
      </c>
      <c r="BG200" s="29">
        <f t="shared" si="215"/>
        <v>9.4414161327320567</v>
      </c>
      <c r="BH200" s="20"/>
      <c r="BI200" s="20"/>
      <c r="BJ200" s="5"/>
      <c r="BK200" s="5"/>
      <c r="BL200" s="5"/>
      <c r="BM200" s="5"/>
      <c r="BN200" s="5"/>
      <c r="BO200" s="5"/>
      <c r="BP200" s="5"/>
      <c r="BQ200" s="43"/>
      <c r="BR200" s="43"/>
      <c r="BS200" s="43"/>
      <c r="BT200" s="44"/>
      <c r="BU200" s="43"/>
      <c r="BV200" s="5"/>
      <c r="BW200" s="43"/>
      <c r="BX200" s="43"/>
      <c r="BY200" s="43"/>
      <c r="BZ200" s="44"/>
      <c r="CA200" s="43"/>
      <c r="CB200" s="5"/>
      <c r="CC200" s="45"/>
      <c r="CD200" s="45"/>
      <c r="CE200" s="45"/>
      <c r="CF200" s="46"/>
      <c r="CG200" s="45"/>
      <c r="CH200" s="5"/>
      <c r="CI200" s="44"/>
      <c r="CJ200" s="44"/>
      <c r="CK200" s="44"/>
      <c r="CL200" s="44"/>
      <c r="CM200" s="44"/>
      <c r="CN200" s="47"/>
      <c r="CO200" s="5"/>
      <c r="CP200" s="47"/>
      <c r="CQ200" s="47"/>
      <c r="CR200" s="47"/>
      <c r="CS200" s="47"/>
      <c r="CT200" s="47"/>
      <c r="CU200" s="47"/>
    </row>
    <row r="201" spans="1:99" ht="15" customHeight="1">
      <c r="A201" s="5"/>
      <c r="B201" s="37" t="s">
        <v>354</v>
      </c>
      <c r="C201" s="37" t="s">
        <v>252</v>
      </c>
      <c r="D201" s="37" t="s">
        <v>253</v>
      </c>
      <c r="E201" s="26">
        <v>42551</v>
      </c>
      <c r="F201" s="26"/>
      <c r="G201" s="4">
        <v>52568</v>
      </c>
      <c r="H201" s="4">
        <v>83535</v>
      </c>
      <c r="I201" s="4">
        <v>3117114</v>
      </c>
      <c r="J201" s="4">
        <v>3029794</v>
      </c>
      <c r="K201" s="4">
        <v>645694</v>
      </c>
      <c r="L201" s="4">
        <v>0</v>
      </c>
      <c r="M201" s="4">
        <v>0</v>
      </c>
      <c r="N201" s="4">
        <f>158640+157105+23+165423</f>
        <v>481191</v>
      </c>
      <c r="O201" s="4">
        <v>0</v>
      </c>
      <c r="P201" s="4">
        <f t="shared" si="222"/>
        <v>481191</v>
      </c>
      <c r="Q201" s="4">
        <v>527747</v>
      </c>
      <c r="R201" s="4">
        <v>-46556</v>
      </c>
      <c r="S201" s="27"/>
      <c r="T201" s="27"/>
      <c r="U201" s="27"/>
      <c r="V201" s="27"/>
      <c r="W201" s="27"/>
      <c r="X201" s="27"/>
      <c r="Y201" s="27"/>
      <c r="Z201" s="27"/>
      <c r="AA201" s="27"/>
      <c r="AB201" s="27"/>
      <c r="AC201" s="27"/>
      <c r="AD201" s="27"/>
      <c r="AE201" s="27"/>
      <c r="AF201" s="27"/>
      <c r="AG201" s="27"/>
      <c r="AH201" s="27"/>
      <c r="AI201" s="27"/>
      <c r="AJ201" s="28"/>
      <c r="AK201" s="20"/>
      <c r="AL201" s="20"/>
      <c r="AM201" s="20"/>
      <c r="AN201" s="20"/>
      <c r="AO201" s="20"/>
      <c r="AP201" s="20"/>
      <c r="AQ201" s="27"/>
      <c r="AR201" s="27"/>
      <c r="AS201" s="27"/>
      <c r="AT201" s="27"/>
      <c r="AU201" s="27"/>
      <c r="AV201" s="27"/>
      <c r="AW201" s="27"/>
      <c r="AX201" s="27"/>
      <c r="AY201" s="27"/>
      <c r="AZ201" s="27"/>
      <c r="BA201" s="27"/>
      <c r="BB201" s="27"/>
      <c r="BC201" s="27"/>
      <c r="BD201" s="27"/>
      <c r="BE201" s="29">
        <f t="shared" si="213"/>
        <v>0</v>
      </c>
      <c r="BF201" s="20" t="e">
        <f t="shared" si="214"/>
        <v>#DIV/0!</v>
      </c>
      <c r="BG201" s="29">
        <f t="shared" si="215"/>
        <v>0</v>
      </c>
      <c r="BH201" s="20"/>
      <c r="BI201" s="20"/>
      <c r="BJ201" s="5"/>
      <c r="BK201" s="5"/>
      <c r="BL201" s="5"/>
      <c r="BM201" s="5"/>
      <c r="BN201" s="5"/>
      <c r="BO201" s="5"/>
      <c r="BP201" s="5"/>
      <c r="BQ201" s="43"/>
      <c r="BR201" s="43"/>
      <c r="BS201" s="43"/>
      <c r="BT201" s="44"/>
      <c r="BU201" s="43"/>
      <c r="BV201" s="5"/>
      <c r="BW201" s="43"/>
      <c r="BX201" s="43"/>
      <c r="BY201" s="43"/>
      <c r="BZ201" s="44"/>
      <c r="CA201" s="43"/>
      <c r="CB201" s="5"/>
      <c r="CC201" s="45"/>
      <c r="CD201" s="45"/>
      <c r="CE201" s="45"/>
      <c r="CF201" s="46"/>
      <c r="CG201" s="45"/>
      <c r="CH201" s="5"/>
      <c r="CI201" s="44"/>
      <c r="CJ201" s="44"/>
      <c r="CK201" s="44"/>
      <c r="CL201" s="44"/>
      <c r="CM201" s="44"/>
      <c r="CN201" s="47"/>
      <c r="CO201" s="5"/>
      <c r="CP201" s="47"/>
      <c r="CQ201" s="47"/>
      <c r="CR201" s="47"/>
      <c r="CS201" s="47"/>
      <c r="CT201" s="47"/>
      <c r="CU201" s="47"/>
    </row>
    <row r="202" spans="1:99" ht="15" customHeight="1">
      <c r="A202" s="5"/>
      <c r="B202" s="37" t="s">
        <v>355</v>
      </c>
      <c r="C202" s="37" t="s">
        <v>252</v>
      </c>
      <c r="D202" s="37" t="s">
        <v>253</v>
      </c>
      <c r="E202" s="26">
        <v>42735</v>
      </c>
      <c r="F202" s="26"/>
      <c r="G202" s="4">
        <v>717075000</v>
      </c>
      <c r="H202" s="4">
        <v>186194000</v>
      </c>
      <c r="I202" s="4">
        <v>5245674000</v>
      </c>
      <c r="J202" s="4">
        <v>866662000</v>
      </c>
      <c r="K202" s="4">
        <v>3567000</v>
      </c>
      <c r="L202" s="4">
        <v>0</v>
      </c>
      <c r="M202" s="4">
        <v>0</v>
      </c>
      <c r="N202" s="4">
        <f>206982000</f>
        <v>206982000</v>
      </c>
      <c r="O202" s="4">
        <v>0</v>
      </c>
      <c r="P202" s="4">
        <f t="shared" si="222"/>
        <v>206982000</v>
      </c>
      <c r="Q202" s="4">
        <f>203793000+25581000</f>
        <v>229374000</v>
      </c>
      <c r="R202" s="4">
        <f t="shared" ref="R202:R208" si="223">P202-Q202</f>
        <v>-22392000</v>
      </c>
      <c r="S202" s="27"/>
      <c r="T202" s="27"/>
      <c r="U202" s="27"/>
      <c r="V202" s="27"/>
      <c r="W202" s="27"/>
      <c r="X202" s="27">
        <v>0</v>
      </c>
      <c r="Y202" s="27">
        <f>69628000</f>
        <v>69628000</v>
      </c>
      <c r="Z202" s="27">
        <v>0</v>
      </c>
      <c r="AA202" s="27">
        <f>4311303000-Y202</f>
        <v>4241675000</v>
      </c>
      <c r="AB202" s="27">
        <f>X202+Y202+Z202+AA202</f>
        <v>4311303000</v>
      </c>
      <c r="AC202" s="27"/>
      <c r="AD202" s="27"/>
      <c r="AE202" s="27"/>
      <c r="AF202" s="27"/>
      <c r="AG202" s="27"/>
      <c r="AH202" s="27"/>
      <c r="AI202" s="27"/>
      <c r="AJ202" s="28"/>
      <c r="AK202" s="20"/>
      <c r="AL202" s="20"/>
      <c r="AM202" s="20"/>
      <c r="AN202" s="20"/>
      <c r="AO202" s="20"/>
      <c r="AP202" s="20"/>
      <c r="AQ202" s="27">
        <v>4553783</v>
      </c>
      <c r="AR202" s="27">
        <v>4553783</v>
      </c>
      <c r="AS202" s="27"/>
      <c r="AT202" s="27"/>
      <c r="AU202" s="27"/>
      <c r="AV202" s="27"/>
      <c r="AW202" s="27"/>
      <c r="AX202" s="27"/>
      <c r="AY202" s="27"/>
      <c r="AZ202" s="27"/>
      <c r="BA202" s="27"/>
      <c r="BB202" s="27"/>
      <c r="BC202" s="27"/>
      <c r="BD202" s="27"/>
      <c r="BE202" s="29">
        <f t="shared" si="213"/>
        <v>2.2000864809500344E-2</v>
      </c>
      <c r="BF202" s="20" t="e">
        <f t="shared" si="214"/>
        <v>#DIV/0!</v>
      </c>
      <c r="BG202" s="29">
        <f t="shared" si="215"/>
        <v>20.492965571885478</v>
      </c>
      <c r="BH202" s="20"/>
      <c r="BI202" s="20"/>
      <c r="BJ202" s="5"/>
      <c r="BK202" s="5"/>
      <c r="BL202" s="5"/>
      <c r="BM202" s="5"/>
      <c r="BN202" s="5"/>
      <c r="BO202" s="5"/>
      <c r="BP202" s="5"/>
      <c r="BQ202" s="43"/>
      <c r="BR202" s="43"/>
      <c r="BS202" s="43"/>
      <c r="BT202" s="44"/>
      <c r="BU202" s="43"/>
      <c r="BV202" s="5"/>
      <c r="BW202" s="43"/>
      <c r="BX202" s="43"/>
      <c r="BY202" s="43"/>
      <c r="BZ202" s="44"/>
      <c r="CA202" s="43"/>
      <c r="CB202" s="5"/>
      <c r="CC202" s="45"/>
      <c r="CD202" s="45"/>
      <c r="CE202" s="45"/>
      <c r="CF202" s="46"/>
      <c r="CG202" s="45"/>
      <c r="CH202" s="5"/>
      <c r="CI202" s="44"/>
      <c r="CJ202" s="44"/>
      <c r="CK202" s="44"/>
      <c r="CL202" s="44"/>
      <c r="CM202" s="44"/>
      <c r="CN202" s="47"/>
      <c r="CO202" s="5"/>
      <c r="CP202" s="47"/>
      <c r="CQ202" s="47"/>
      <c r="CR202" s="47"/>
      <c r="CS202" s="47"/>
      <c r="CT202" s="47"/>
      <c r="CU202" s="47"/>
    </row>
    <row r="203" spans="1:99" ht="15" customHeight="1">
      <c r="A203" s="5"/>
      <c r="B203" s="37" t="s">
        <v>356</v>
      </c>
      <c r="C203" s="37" t="s">
        <v>252</v>
      </c>
      <c r="D203" s="37" t="s">
        <v>253</v>
      </c>
      <c r="E203" s="26">
        <v>42551</v>
      </c>
      <c r="F203" s="26"/>
      <c r="G203" s="4">
        <v>41697626</v>
      </c>
      <c r="H203" s="4">
        <v>16678037</v>
      </c>
      <c r="I203" s="4">
        <v>48005705</v>
      </c>
      <c r="J203" s="4">
        <v>31327668</v>
      </c>
      <c r="K203" s="4">
        <v>0</v>
      </c>
      <c r="L203" s="4">
        <f>30455332+15995</f>
        <v>30471327</v>
      </c>
      <c r="M203" s="4">
        <v>0</v>
      </c>
      <c r="N203" s="4">
        <v>0</v>
      </c>
      <c r="O203" s="4">
        <f>9482162+41000</f>
        <v>9523162</v>
      </c>
      <c r="P203" s="4">
        <f t="shared" si="222"/>
        <v>39994489</v>
      </c>
      <c r="Q203" s="4">
        <v>49844555</v>
      </c>
      <c r="R203" s="4">
        <f t="shared" si="223"/>
        <v>-9850066</v>
      </c>
      <c r="S203" s="27"/>
      <c r="T203" s="27"/>
      <c r="U203" s="27"/>
      <c r="V203" s="27"/>
      <c r="W203" s="27"/>
      <c r="X203" s="27"/>
      <c r="Y203" s="27"/>
      <c r="Z203" s="27"/>
      <c r="AA203" s="27"/>
      <c r="AB203" s="27"/>
      <c r="AC203" s="27"/>
      <c r="AD203" s="27"/>
      <c r="AE203" s="27"/>
      <c r="AF203" s="27"/>
      <c r="AG203" s="27"/>
      <c r="AH203" s="27"/>
      <c r="AI203" s="27"/>
      <c r="AJ203" s="28"/>
      <c r="AK203" s="20"/>
      <c r="AL203" s="20"/>
      <c r="AM203" s="20"/>
      <c r="AN203" s="20"/>
      <c r="AO203" s="20"/>
      <c r="AP203" s="20"/>
      <c r="AQ203" s="27"/>
      <c r="AR203" s="27"/>
      <c r="AS203" s="27"/>
      <c r="AT203" s="27"/>
      <c r="AU203" s="27"/>
      <c r="AV203" s="27"/>
      <c r="AW203" s="27"/>
      <c r="AX203" s="27"/>
      <c r="AY203" s="27"/>
      <c r="AZ203" s="27"/>
      <c r="BA203" s="27"/>
      <c r="BB203" s="27"/>
      <c r="BC203" s="27"/>
      <c r="BD203" s="27"/>
      <c r="BE203" s="29">
        <f t="shared" si="213"/>
        <v>0</v>
      </c>
      <c r="BF203" s="20" t="e">
        <f t="shared" si="214"/>
        <v>#DIV/0!</v>
      </c>
      <c r="BG203" s="29">
        <f t="shared" si="215"/>
        <v>0</v>
      </c>
      <c r="BH203" s="20"/>
      <c r="BI203" s="20"/>
      <c r="BJ203" s="5"/>
      <c r="BK203" s="5"/>
      <c r="BL203" s="5"/>
      <c r="BM203" s="5"/>
      <c r="BN203" s="5"/>
      <c r="BO203" s="5"/>
      <c r="BP203" s="5"/>
      <c r="BQ203" s="43"/>
      <c r="BR203" s="43"/>
      <c r="BS203" s="43"/>
      <c r="BT203" s="44"/>
      <c r="BU203" s="43"/>
      <c r="BV203" s="5"/>
      <c r="BW203" s="43"/>
      <c r="BX203" s="43"/>
      <c r="BY203" s="43"/>
      <c r="BZ203" s="44"/>
      <c r="CA203" s="43"/>
      <c r="CB203" s="5"/>
      <c r="CC203" s="45"/>
      <c r="CD203" s="45"/>
      <c r="CE203" s="45"/>
      <c r="CF203" s="46"/>
      <c r="CG203" s="45"/>
      <c r="CH203" s="5"/>
      <c r="CI203" s="44"/>
      <c r="CJ203" s="44"/>
      <c r="CK203" s="44"/>
      <c r="CL203" s="44"/>
      <c r="CM203" s="44"/>
      <c r="CN203" s="47"/>
      <c r="CO203" s="5"/>
      <c r="CP203" s="47"/>
      <c r="CQ203" s="47"/>
      <c r="CR203" s="47"/>
      <c r="CS203" s="47"/>
      <c r="CT203" s="47"/>
      <c r="CU203" s="47"/>
    </row>
    <row r="204" spans="1:99" ht="15" customHeight="1">
      <c r="A204" s="5"/>
      <c r="B204" s="37" t="s">
        <v>357</v>
      </c>
      <c r="C204" s="37" t="s">
        <v>252</v>
      </c>
      <c r="D204" s="37" t="s">
        <v>253</v>
      </c>
      <c r="E204" s="26">
        <v>42551</v>
      </c>
      <c r="F204" s="26"/>
      <c r="G204" s="4">
        <v>208557000</v>
      </c>
      <c r="H204" s="4">
        <f>(25065+23871)*1000</f>
        <v>48936000</v>
      </c>
      <c r="I204" s="4">
        <v>464716000</v>
      </c>
      <c r="J204" s="4">
        <v>276402000</v>
      </c>
      <c r="K204" s="4">
        <v>26542000</v>
      </c>
      <c r="L204" s="4">
        <f>(66917+5025)*1000</f>
        <v>71942000</v>
      </c>
      <c r="M204" s="4">
        <v>2279000</v>
      </c>
      <c r="N204" s="4">
        <v>0</v>
      </c>
      <c r="O204" s="4">
        <v>0</v>
      </c>
      <c r="P204" s="4">
        <f t="shared" si="222"/>
        <v>74221000</v>
      </c>
      <c r="Q204" s="4">
        <f>(48617+16357)*1000</f>
        <v>64974000</v>
      </c>
      <c r="R204" s="4">
        <f t="shared" si="223"/>
        <v>9247000</v>
      </c>
      <c r="S204" s="27"/>
      <c r="T204" s="27"/>
      <c r="U204" s="27"/>
      <c r="V204" s="27"/>
      <c r="W204" s="27"/>
      <c r="X204" s="27"/>
      <c r="Y204" s="27">
        <v>47598000</v>
      </c>
      <c r="Z204" s="27"/>
      <c r="AA204" s="27">
        <v>116290000</v>
      </c>
      <c r="AB204" s="27">
        <f>X204+Y204+Z204+AA204</f>
        <v>163888000</v>
      </c>
      <c r="AC204" s="27"/>
      <c r="AD204" s="27"/>
      <c r="AE204" s="27"/>
      <c r="AF204" s="27"/>
      <c r="AG204" s="27"/>
      <c r="AH204" s="27"/>
      <c r="AI204" s="27"/>
      <c r="AJ204" s="28"/>
      <c r="AK204" s="20"/>
      <c r="AL204" s="20"/>
      <c r="AM204" s="20"/>
      <c r="AN204" s="20"/>
      <c r="AO204" s="20"/>
      <c r="AP204" s="20"/>
      <c r="AQ204" s="27">
        <v>4763304</v>
      </c>
      <c r="AR204" s="27">
        <v>4763304</v>
      </c>
      <c r="AS204" s="27"/>
      <c r="AT204" s="27"/>
      <c r="AU204" s="27"/>
      <c r="AV204" s="27"/>
      <c r="AW204" s="27"/>
      <c r="AX204" s="27"/>
      <c r="AY204" s="27"/>
      <c r="AZ204" s="27"/>
      <c r="BA204" s="27"/>
      <c r="BB204" s="27"/>
      <c r="BC204" s="27"/>
      <c r="BD204" s="27"/>
      <c r="BE204" s="29">
        <f t="shared" si="213"/>
        <v>6.4177308308969158E-2</v>
      </c>
      <c r="BF204" s="20" t="e">
        <f t="shared" si="214"/>
        <v>#DIV/0!</v>
      </c>
      <c r="BG204" s="29">
        <f t="shared" si="215"/>
        <v>1.566807237843737</v>
      </c>
      <c r="BH204" s="20"/>
      <c r="BI204" s="20"/>
      <c r="BJ204" s="5"/>
      <c r="BK204" s="5"/>
      <c r="BL204" s="5"/>
      <c r="BM204" s="5"/>
      <c r="BN204" s="5"/>
      <c r="BO204" s="5"/>
      <c r="BP204" s="5"/>
      <c r="BQ204" s="43"/>
      <c r="BR204" s="43"/>
      <c r="BS204" s="43"/>
      <c r="BT204" s="44"/>
      <c r="BU204" s="43"/>
      <c r="BV204" s="5"/>
      <c r="BW204" s="43"/>
      <c r="BX204" s="43"/>
      <c r="BY204" s="43"/>
      <c r="BZ204" s="44"/>
      <c r="CA204" s="43"/>
      <c r="CB204" s="5"/>
      <c r="CC204" s="45"/>
      <c r="CD204" s="45"/>
      <c r="CE204" s="45"/>
      <c r="CF204" s="46"/>
      <c r="CG204" s="45"/>
      <c r="CH204" s="5"/>
      <c r="CI204" s="44"/>
      <c r="CJ204" s="44"/>
      <c r="CK204" s="44"/>
      <c r="CL204" s="44"/>
      <c r="CM204" s="44"/>
      <c r="CN204" s="47"/>
      <c r="CO204" s="5"/>
      <c r="CP204" s="47"/>
      <c r="CQ204" s="47"/>
      <c r="CR204" s="47"/>
      <c r="CS204" s="47"/>
      <c r="CT204" s="47"/>
      <c r="CU204" s="47"/>
    </row>
    <row r="205" spans="1:99" ht="15" customHeight="1">
      <c r="A205" s="5"/>
      <c r="B205" s="37" t="s">
        <v>358</v>
      </c>
      <c r="C205" s="37" t="s">
        <v>252</v>
      </c>
      <c r="D205" s="37" t="s">
        <v>253</v>
      </c>
      <c r="E205" s="26">
        <v>42551</v>
      </c>
      <c r="F205" s="26"/>
      <c r="G205" s="4">
        <v>697687</v>
      </c>
      <c r="H205" s="4">
        <v>106287</v>
      </c>
      <c r="I205" s="4">
        <v>697687</v>
      </c>
      <c r="J205" s="4">
        <v>650452</v>
      </c>
      <c r="K205" s="4">
        <v>231400</v>
      </c>
      <c r="L205" s="4">
        <v>1421835</v>
      </c>
      <c r="M205" s="4">
        <v>0</v>
      </c>
      <c r="N205" s="4">
        <v>0</v>
      </c>
      <c r="O205" s="4">
        <v>0</v>
      </c>
      <c r="P205" s="4">
        <f t="shared" si="222"/>
        <v>1421835</v>
      </c>
      <c r="Q205" s="4">
        <v>1353902</v>
      </c>
      <c r="R205" s="4">
        <f t="shared" si="223"/>
        <v>67933</v>
      </c>
      <c r="S205" s="27"/>
      <c r="T205" s="27"/>
      <c r="U205" s="27"/>
      <c r="V205" s="27"/>
      <c r="W205" s="27"/>
      <c r="X205" s="27"/>
      <c r="Y205" s="27"/>
      <c r="Z205" s="27"/>
      <c r="AA205" s="27"/>
      <c r="AB205" s="27"/>
      <c r="AC205" s="27"/>
      <c r="AD205" s="27"/>
      <c r="AE205" s="27"/>
      <c r="AF205" s="27"/>
      <c r="AG205" s="27"/>
      <c r="AH205" s="27"/>
      <c r="AI205" s="27"/>
      <c r="AJ205" s="28"/>
      <c r="AK205" s="20"/>
      <c r="AL205" s="20"/>
      <c r="AM205" s="20"/>
      <c r="AN205" s="20"/>
      <c r="AO205" s="20"/>
      <c r="AP205" s="20"/>
      <c r="AQ205" s="27"/>
      <c r="AR205" s="27"/>
      <c r="AS205" s="27"/>
      <c r="AT205" s="27"/>
      <c r="AU205" s="27"/>
      <c r="AV205" s="27"/>
      <c r="AW205" s="27"/>
      <c r="AX205" s="27"/>
      <c r="AY205" s="27"/>
      <c r="AZ205" s="27"/>
      <c r="BA205" s="27"/>
      <c r="BB205" s="27"/>
      <c r="BC205" s="27"/>
      <c r="BD205" s="27"/>
      <c r="BE205" s="29">
        <f t="shared" si="213"/>
        <v>0</v>
      </c>
      <c r="BF205" s="20" t="e">
        <f t="shared" si="214"/>
        <v>#DIV/0!</v>
      </c>
      <c r="BG205" s="29">
        <f t="shared" si="215"/>
        <v>0</v>
      </c>
      <c r="BH205" s="20"/>
      <c r="BI205" s="20"/>
      <c r="BJ205" s="5"/>
      <c r="BK205" s="5"/>
      <c r="BL205" s="5"/>
      <c r="BM205" s="5"/>
      <c r="BN205" s="5"/>
      <c r="BO205" s="5"/>
      <c r="BP205" s="5"/>
      <c r="BQ205" s="43"/>
      <c r="BR205" s="43"/>
      <c r="BS205" s="43"/>
      <c r="BT205" s="44"/>
      <c r="BU205" s="43"/>
      <c r="BV205" s="5"/>
      <c r="BW205" s="43"/>
      <c r="BX205" s="43"/>
      <c r="BY205" s="43"/>
      <c r="BZ205" s="44"/>
      <c r="CA205" s="43"/>
      <c r="CB205" s="5"/>
      <c r="CC205" s="45"/>
      <c r="CD205" s="45"/>
      <c r="CE205" s="45"/>
      <c r="CF205" s="46"/>
      <c r="CG205" s="45"/>
      <c r="CH205" s="5"/>
      <c r="CI205" s="44"/>
      <c r="CJ205" s="44"/>
      <c r="CK205" s="44"/>
      <c r="CL205" s="44"/>
      <c r="CM205" s="44"/>
      <c r="CN205" s="47"/>
      <c r="CO205" s="5"/>
      <c r="CP205" s="47"/>
      <c r="CQ205" s="47"/>
      <c r="CR205" s="47"/>
      <c r="CS205" s="47"/>
      <c r="CT205" s="47"/>
      <c r="CU205" s="47"/>
    </row>
    <row r="206" spans="1:99" ht="15" customHeight="1">
      <c r="A206" s="5"/>
      <c r="B206" s="37" t="s">
        <v>359</v>
      </c>
      <c r="C206" s="37" t="s">
        <v>252</v>
      </c>
      <c r="D206" s="37" t="s">
        <v>253</v>
      </c>
      <c r="E206" s="26">
        <v>42551</v>
      </c>
      <c r="F206" s="26"/>
      <c r="G206" s="4">
        <f>897421+141885+75106</f>
        <v>1114412</v>
      </c>
      <c r="H206" s="4">
        <v>2544</v>
      </c>
      <c r="I206" s="4">
        <v>2970269</v>
      </c>
      <c r="J206" s="4">
        <v>2885952</v>
      </c>
      <c r="K206" s="4">
        <v>1111868</v>
      </c>
      <c r="L206" s="4">
        <v>992871</v>
      </c>
      <c r="M206" s="4">
        <v>0</v>
      </c>
      <c r="N206" s="4">
        <v>0</v>
      </c>
      <c r="O206" s="4">
        <v>0</v>
      </c>
      <c r="P206" s="4">
        <f t="shared" si="222"/>
        <v>992871</v>
      </c>
      <c r="Q206" s="4">
        <v>851343</v>
      </c>
      <c r="R206" s="4">
        <f t="shared" si="223"/>
        <v>141528</v>
      </c>
      <c r="S206" s="27">
        <v>988734</v>
      </c>
      <c r="T206" s="27">
        <v>862486</v>
      </c>
      <c r="U206" s="27">
        <v>988734</v>
      </c>
      <c r="V206" s="27">
        <v>862486</v>
      </c>
      <c r="W206" s="27">
        <v>126248</v>
      </c>
      <c r="X206" s="27">
        <v>40324</v>
      </c>
      <c r="Y206" s="27">
        <v>0</v>
      </c>
      <c r="Z206" s="27">
        <v>0</v>
      </c>
      <c r="AA206" s="27">
        <v>41449</v>
      </c>
      <c r="AB206" s="27">
        <f>X206+Y206+Z206+AA206</f>
        <v>81773</v>
      </c>
      <c r="AC206" s="27"/>
      <c r="AD206" s="27"/>
      <c r="AE206" s="27"/>
      <c r="AF206" s="27"/>
      <c r="AG206" s="27"/>
      <c r="AH206" s="27"/>
      <c r="AI206" s="27"/>
      <c r="AJ206" s="28"/>
      <c r="AK206" s="20"/>
      <c r="AL206" s="20"/>
      <c r="AM206" s="20"/>
      <c r="AN206" s="20"/>
      <c r="AO206" s="20"/>
      <c r="AP206" s="20"/>
      <c r="AQ206" s="27"/>
      <c r="AR206" s="27"/>
      <c r="AS206" s="27">
        <v>75106</v>
      </c>
      <c r="AT206" s="27">
        <v>0</v>
      </c>
      <c r="AU206" s="27">
        <v>0</v>
      </c>
      <c r="AV206" s="27">
        <v>0</v>
      </c>
      <c r="AW206" s="27">
        <v>917297</v>
      </c>
      <c r="AX206" s="27">
        <f>AS206+AT206+AU206+AV206+AW206</f>
        <v>992403</v>
      </c>
      <c r="AY206" s="27">
        <v>75106</v>
      </c>
      <c r="AZ206" s="27">
        <v>0</v>
      </c>
      <c r="BA206" s="27">
        <v>0</v>
      </c>
      <c r="BB206" s="27">
        <v>0</v>
      </c>
      <c r="BC206" s="27">
        <v>917297</v>
      </c>
      <c r="BD206" s="27">
        <f>AY206+AZ206+BA206+BB206+BC206</f>
        <v>992403</v>
      </c>
      <c r="BE206" s="29">
        <f t="shared" si="213"/>
        <v>0</v>
      </c>
      <c r="BF206" s="29">
        <f t="shared" si="214"/>
        <v>1.1506308508196075</v>
      </c>
      <c r="BG206" s="29">
        <f t="shared" si="215"/>
        <v>8.2360145477106295E-2</v>
      </c>
      <c r="BH206" s="20"/>
      <c r="BI206" s="20"/>
      <c r="BJ206" s="5"/>
      <c r="BK206" s="5"/>
      <c r="BL206" s="5"/>
      <c r="BM206" s="5"/>
      <c r="BN206" s="5"/>
      <c r="BO206" s="5"/>
      <c r="BP206" s="5"/>
      <c r="BQ206" s="43"/>
      <c r="BR206" s="43"/>
      <c r="BS206" s="43"/>
      <c r="BT206" s="44"/>
      <c r="BU206" s="43"/>
      <c r="BV206" s="5"/>
      <c r="BW206" s="43"/>
      <c r="BX206" s="43"/>
      <c r="BY206" s="43"/>
      <c r="BZ206" s="44"/>
      <c r="CA206" s="43"/>
      <c r="CB206" s="5"/>
      <c r="CC206" s="45"/>
      <c r="CD206" s="45"/>
      <c r="CE206" s="45"/>
      <c r="CF206" s="46"/>
      <c r="CG206" s="45"/>
      <c r="CH206" s="5"/>
      <c r="CI206" s="44"/>
      <c r="CJ206" s="44"/>
      <c r="CK206" s="44"/>
      <c r="CL206" s="44"/>
      <c r="CM206" s="44"/>
      <c r="CN206" s="47"/>
      <c r="CO206" s="5"/>
      <c r="CP206" s="47"/>
      <c r="CQ206" s="47"/>
      <c r="CR206" s="47"/>
      <c r="CS206" s="47"/>
      <c r="CT206" s="47"/>
      <c r="CU206" s="47"/>
    </row>
    <row r="207" spans="1:99" ht="15" customHeight="1">
      <c r="A207" s="5"/>
      <c r="B207" s="37" t="s">
        <v>360</v>
      </c>
      <c r="C207" s="37" t="s">
        <v>252</v>
      </c>
      <c r="D207" s="37" t="s">
        <v>253</v>
      </c>
      <c r="E207" s="26">
        <v>42551</v>
      </c>
      <c r="F207" s="26"/>
      <c r="G207" s="4">
        <v>92634</v>
      </c>
      <c r="H207" s="4">
        <v>39327</v>
      </c>
      <c r="I207" s="4">
        <v>92909</v>
      </c>
      <c r="J207" s="4">
        <v>53582</v>
      </c>
      <c r="K207" s="4">
        <v>53307</v>
      </c>
      <c r="L207" s="4">
        <v>10595</v>
      </c>
      <c r="M207" s="4">
        <v>421274</v>
      </c>
      <c r="N207" s="4">
        <v>58331</v>
      </c>
      <c r="O207" s="4">
        <v>0</v>
      </c>
      <c r="P207" s="4">
        <f t="shared" si="222"/>
        <v>490200</v>
      </c>
      <c r="Q207" s="4">
        <v>585549</v>
      </c>
      <c r="R207" s="4">
        <f t="shared" si="223"/>
        <v>-95349</v>
      </c>
      <c r="S207" s="27"/>
      <c r="T207" s="27"/>
      <c r="U207" s="27"/>
      <c r="V207" s="27"/>
      <c r="W207" s="27"/>
      <c r="X207" s="27"/>
      <c r="Y207" s="27"/>
      <c r="Z207" s="27"/>
      <c r="AA207" s="27"/>
      <c r="AB207" s="27"/>
      <c r="AC207" s="27"/>
      <c r="AD207" s="27"/>
      <c r="AE207" s="27"/>
      <c r="AF207" s="27"/>
      <c r="AG207" s="27"/>
      <c r="AH207" s="27"/>
      <c r="AI207" s="27"/>
      <c r="AJ207" s="28"/>
      <c r="AK207" s="20"/>
      <c r="AL207" s="20"/>
      <c r="AM207" s="20"/>
      <c r="AN207" s="20"/>
      <c r="AO207" s="20"/>
      <c r="AP207" s="20"/>
      <c r="AQ207" s="27"/>
      <c r="AR207" s="27"/>
      <c r="AS207" s="27"/>
      <c r="AT207" s="27"/>
      <c r="AU207" s="27"/>
      <c r="AV207" s="27"/>
      <c r="AW207" s="27"/>
      <c r="AX207" s="27"/>
      <c r="AY207" s="27"/>
      <c r="AZ207" s="27"/>
      <c r="BA207" s="27"/>
      <c r="BB207" s="27"/>
      <c r="BC207" s="27"/>
      <c r="BD207" s="27"/>
      <c r="BE207" s="29">
        <f t="shared" si="213"/>
        <v>0</v>
      </c>
      <c r="BF207" s="20" t="e">
        <f t="shared" si="214"/>
        <v>#DIV/0!</v>
      </c>
      <c r="BG207" s="29">
        <f t="shared" si="215"/>
        <v>0</v>
      </c>
      <c r="BH207" s="20"/>
      <c r="BI207" s="20"/>
      <c r="BJ207" s="5"/>
      <c r="BK207" s="5"/>
      <c r="BL207" s="5"/>
      <c r="BM207" s="5"/>
      <c r="BN207" s="5"/>
      <c r="BO207" s="5"/>
      <c r="BP207" s="5"/>
      <c r="BQ207" s="43"/>
      <c r="BR207" s="43"/>
      <c r="BS207" s="43"/>
      <c r="BT207" s="44"/>
      <c r="BU207" s="43"/>
      <c r="BV207" s="5"/>
      <c r="BW207" s="43"/>
      <c r="BX207" s="43"/>
      <c r="BY207" s="43"/>
      <c r="BZ207" s="44"/>
      <c r="CA207" s="43"/>
      <c r="CB207" s="5"/>
      <c r="CC207" s="45"/>
      <c r="CD207" s="45"/>
      <c r="CE207" s="45"/>
      <c r="CF207" s="46"/>
      <c r="CG207" s="45"/>
      <c r="CH207" s="5"/>
      <c r="CI207" s="44"/>
      <c r="CJ207" s="44"/>
      <c r="CK207" s="44"/>
      <c r="CL207" s="44"/>
      <c r="CM207" s="44"/>
      <c r="CN207" s="47"/>
      <c r="CO207" s="5"/>
      <c r="CP207" s="47"/>
      <c r="CQ207" s="47"/>
      <c r="CR207" s="47"/>
      <c r="CS207" s="47"/>
      <c r="CT207" s="47"/>
      <c r="CU207" s="47"/>
    </row>
    <row r="208" spans="1:99" ht="15" customHeight="1">
      <c r="A208" s="5"/>
      <c r="B208" s="37" t="s">
        <v>361</v>
      </c>
      <c r="C208" s="37" t="s">
        <v>252</v>
      </c>
      <c r="D208" s="37" t="s">
        <v>253</v>
      </c>
      <c r="E208" s="26">
        <v>42551</v>
      </c>
      <c r="F208" s="26"/>
      <c r="G208" s="4">
        <f>426709+654195+15468</f>
        <v>1096372</v>
      </c>
      <c r="H208" s="4">
        <f>847836-676641-9359</f>
        <v>161836</v>
      </c>
      <c r="I208" s="4">
        <v>4147555</v>
      </c>
      <c r="J208" s="4">
        <v>3299719</v>
      </c>
      <c r="K208" s="4">
        <v>1028769</v>
      </c>
      <c r="L208" s="4">
        <v>1070317</v>
      </c>
      <c r="M208" s="4">
        <v>561000</v>
      </c>
      <c r="N208" s="4">
        <v>8240</v>
      </c>
      <c r="O208" s="4">
        <v>0</v>
      </c>
      <c r="P208" s="4">
        <f t="shared" si="222"/>
        <v>1639557</v>
      </c>
      <c r="Q208" s="4">
        <v>913180</v>
      </c>
      <c r="R208" s="4">
        <f t="shared" si="223"/>
        <v>726377</v>
      </c>
      <c r="S208" s="27">
        <v>1103941</v>
      </c>
      <c r="T208" s="27">
        <v>709108</v>
      </c>
      <c r="U208" s="27">
        <v>1664941</v>
      </c>
      <c r="V208" s="27">
        <v>745412</v>
      </c>
      <c r="W208" s="27">
        <v>342122</v>
      </c>
      <c r="X208" s="27">
        <v>9359</v>
      </c>
      <c r="Y208" s="27">
        <v>0</v>
      </c>
      <c r="Z208" s="27">
        <v>0</v>
      </c>
      <c r="AA208" s="27">
        <f>686000-X208-Y208-Z208</f>
        <v>676641</v>
      </c>
      <c r="AB208" s="27">
        <f>X208+Y208+Z208+AA208</f>
        <v>686000</v>
      </c>
      <c r="AC208" s="27"/>
      <c r="AD208" s="27"/>
      <c r="AE208" s="27"/>
      <c r="AF208" s="27"/>
      <c r="AG208" s="27"/>
      <c r="AH208" s="27"/>
      <c r="AI208" s="27"/>
      <c r="AJ208" s="28"/>
      <c r="AK208" s="20"/>
      <c r="AL208" s="20"/>
      <c r="AM208" s="20"/>
      <c r="AN208" s="20"/>
      <c r="AO208" s="20"/>
      <c r="AP208" s="20"/>
      <c r="AQ208" s="27"/>
      <c r="AR208" s="27"/>
      <c r="AS208" s="27">
        <v>0</v>
      </c>
      <c r="AT208" s="27">
        <v>0</v>
      </c>
      <c r="AU208" s="27">
        <v>0</v>
      </c>
      <c r="AV208" s="27">
        <v>0</v>
      </c>
      <c r="AW208" s="27">
        <v>1134169</v>
      </c>
      <c r="AX208" s="27">
        <f>AS208+AT208+AU208+AV208+AW208</f>
        <v>1134169</v>
      </c>
      <c r="AY208" s="27">
        <v>0</v>
      </c>
      <c r="AZ208" s="27">
        <v>0</v>
      </c>
      <c r="BA208" s="27">
        <v>0</v>
      </c>
      <c r="BB208" s="27">
        <v>0</v>
      </c>
      <c r="BC208" s="27">
        <v>1034245</v>
      </c>
      <c r="BD208" s="27">
        <f>AY208+AZ208+BA208+BB208+BC208</f>
        <v>1034245</v>
      </c>
      <c r="BE208" s="29">
        <f t="shared" si="213"/>
        <v>0</v>
      </c>
      <c r="BF208" s="29">
        <f t="shared" si="214"/>
        <v>1.5994305521866909</v>
      </c>
      <c r="BG208" s="29">
        <f t="shared" si="215"/>
        <v>0.41840570349185785</v>
      </c>
      <c r="BH208" s="20"/>
      <c r="BI208" s="20"/>
      <c r="BJ208" s="5"/>
      <c r="BK208" s="5"/>
      <c r="BL208" s="5"/>
      <c r="BM208" s="5"/>
      <c r="BN208" s="5"/>
      <c r="BO208" s="5"/>
      <c r="BP208" s="5"/>
      <c r="BQ208" s="43"/>
      <c r="BR208" s="43"/>
      <c r="BS208" s="43"/>
      <c r="BT208" s="44"/>
      <c r="BU208" s="43"/>
      <c r="BV208" s="5"/>
      <c r="BW208" s="43"/>
      <c r="BX208" s="43"/>
      <c r="BY208" s="43"/>
      <c r="BZ208" s="44"/>
      <c r="CA208" s="43"/>
      <c r="CB208" s="5"/>
      <c r="CC208" s="45"/>
      <c r="CD208" s="45"/>
      <c r="CE208" s="45"/>
      <c r="CF208" s="46"/>
      <c r="CG208" s="45"/>
      <c r="CH208" s="5"/>
      <c r="CI208" s="44"/>
      <c r="CJ208" s="44"/>
      <c r="CK208" s="44"/>
      <c r="CL208" s="44"/>
      <c r="CM208" s="44"/>
      <c r="CN208" s="47"/>
      <c r="CO208" s="5"/>
      <c r="CP208" s="47"/>
      <c r="CQ208" s="47"/>
      <c r="CR208" s="47"/>
      <c r="CS208" s="47"/>
      <c r="CT208" s="47"/>
      <c r="CU208" s="47"/>
    </row>
    <row r="209" spans="1:99" ht="15" customHeight="1">
      <c r="A209" s="5"/>
      <c r="B209" s="37" t="s">
        <v>362</v>
      </c>
      <c r="C209" s="37" t="s">
        <v>252</v>
      </c>
      <c r="D209" s="37" t="s">
        <v>253</v>
      </c>
      <c r="E209" s="26">
        <v>42551</v>
      </c>
      <c r="F209" s="26"/>
      <c r="G209" s="4">
        <f>2924358-1751938</f>
        <v>1172420</v>
      </c>
      <c r="H209" s="4">
        <v>47353</v>
      </c>
      <c r="I209" s="4">
        <v>2924358</v>
      </c>
      <c r="J209" s="4">
        <v>2474803</v>
      </c>
      <c r="K209" s="4">
        <v>1131625</v>
      </c>
      <c r="L209" s="4">
        <v>559409</v>
      </c>
      <c r="M209" s="4"/>
      <c r="N209" s="4">
        <v>664110</v>
      </c>
      <c r="O209" s="4"/>
      <c r="P209" s="4">
        <f t="shared" si="222"/>
        <v>1223519</v>
      </c>
      <c r="Q209" s="4">
        <f>1094711+15980</f>
        <v>1110691</v>
      </c>
      <c r="R209" s="4">
        <v>237393</v>
      </c>
      <c r="S209" s="27"/>
      <c r="T209" s="27"/>
      <c r="U209" s="27"/>
      <c r="V209" s="27"/>
      <c r="W209" s="27"/>
      <c r="X209" s="27"/>
      <c r="Y209" s="27"/>
      <c r="Z209" s="27"/>
      <c r="AA209" s="27">
        <v>402202</v>
      </c>
      <c r="AB209" s="27">
        <v>402202</v>
      </c>
      <c r="AC209" s="27"/>
      <c r="AD209" s="27"/>
      <c r="AE209" s="27"/>
      <c r="AF209" s="27"/>
      <c r="AG209" s="27"/>
      <c r="AH209" s="27"/>
      <c r="AI209" s="27"/>
      <c r="AJ209" s="28"/>
      <c r="AK209" s="27"/>
      <c r="AL209" s="27"/>
      <c r="AM209" s="27"/>
      <c r="AN209" s="29"/>
      <c r="AO209" s="20"/>
      <c r="AP209" s="29"/>
      <c r="AQ209" s="27"/>
      <c r="AR209" s="27"/>
      <c r="AS209" s="27"/>
      <c r="AT209" s="27"/>
      <c r="AU209" s="27"/>
      <c r="AV209" s="27"/>
      <c r="AW209" s="27"/>
      <c r="AX209" s="27"/>
      <c r="AY209" s="27"/>
      <c r="AZ209" s="27"/>
      <c r="BA209" s="27"/>
      <c r="BB209" s="27"/>
      <c r="BC209" s="27"/>
      <c r="BD209" s="27"/>
      <c r="BE209" s="29">
        <f t="shared" si="213"/>
        <v>0</v>
      </c>
      <c r="BF209" s="20" t="e">
        <f t="shared" si="214"/>
        <v>#DIV/0!</v>
      </c>
      <c r="BG209" s="29">
        <f t="shared" si="215"/>
        <v>0.32872558578984062</v>
      </c>
      <c r="BH209" s="20"/>
      <c r="BI209" s="20"/>
      <c r="BJ209" s="5"/>
      <c r="BK209" s="5"/>
      <c r="BL209" s="5"/>
      <c r="BM209" s="5"/>
      <c r="BN209" s="5"/>
      <c r="BO209" s="5"/>
      <c r="BP209" s="5"/>
      <c r="BQ209" s="43"/>
      <c r="BR209" s="43"/>
      <c r="BS209" s="43"/>
      <c r="BT209" s="44"/>
      <c r="BU209" s="43"/>
      <c r="BV209" s="5"/>
      <c r="BW209" s="43"/>
      <c r="BX209" s="43"/>
      <c r="BY209" s="43"/>
      <c r="BZ209" s="44"/>
      <c r="CA209" s="43"/>
      <c r="CB209" s="5"/>
      <c r="CC209" s="45"/>
      <c r="CD209" s="45"/>
      <c r="CE209" s="45"/>
      <c r="CF209" s="46"/>
      <c r="CG209" s="45"/>
      <c r="CH209" s="5"/>
      <c r="CI209" s="44"/>
      <c r="CJ209" s="44"/>
      <c r="CK209" s="44"/>
      <c r="CL209" s="44"/>
      <c r="CM209" s="44"/>
      <c r="CN209" s="47"/>
      <c r="CO209" s="5"/>
      <c r="CP209" s="47"/>
      <c r="CQ209" s="47"/>
      <c r="CR209" s="47"/>
      <c r="CS209" s="47"/>
      <c r="CT209" s="47"/>
      <c r="CU209" s="47"/>
    </row>
    <row r="210" spans="1:99" ht="15" customHeight="1">
      <c r="A210" s="5"/>
      <c r="B210" s="37" t="s">
        <v>363</v>
      </c>
      <c r="C210" s="37" t="s">
        <v>252</v>
      </c>
      <c r="D210" s="37" t="s">
        <v>253</v>
      </c>
      <c r="E210" s="26">
        <v>42551</v>
      </c>
      <c r="F210" s="26"/>
      <c r="G210" s="4">
        <v>303697</v>
      </c>
      <c r="H210" s="4">
        <v>192663</v>
      </c>
      <c r="I210" s="4">
        <v>676288</v>
      </c>
      <c r="J210" s="4">
        <v>483625</v>
      </c>
      <c r="K210" s="4">
        <v>111034</v>
      </c>
      <c r="L210" s="4">
        <v>0</v>
      </c>
      <c r="M210" s="4">
        <v>0</v>
      </c>
      <c r="N210" s="4">
        <f>204961+24159</f>
        <v>229120</v>
      </c>
      <c r="O210" s="4">
        <v>0</v>
      </c>
      <c r="P210" s="4">
        <f t="shared" si="222"/>
        <v>229120</v>
      </c>
      <c r="Q210" s="4">
        <v>2092419</v>
      </c>
      <c r="R210" s="4">
        <v>-12827</v>
      </c>
      <c r="S210" s="27"/>
      <c r="T210" s="27"/>
      <c r="U210" s="27"/>
      <c r="V210" s="27"/>
      <c r="W210" s="27"/>
      <c r="X210" s="27"/>
      <c r="Y210" s="27"/>
      <c r="Z210" s="27"/>
      <c r="AA210" s="27"/>
      <c r="AB210" s="27"/>
      <c r="AC210" s="27"/>
      <c r="AD210" s="27"/>
      <c r="AE210" s="27"/>
      <c r="AF210" s="27"/>
      <c r="AG210" s="27"/>
      <c r="AH210" s="27"/>
      <c r="AI210" s="27"/>
      <c r="AJ210" s="28"/>
      <c r="AK210" s="27"/>
      <c r="AL210" s="27"/>
      <c r="AM210" s="27"/>
      <c r="AN210" s="29"/>
      <c r="AO210" s="20"/>
      <c r="AP210" s="29"/>
      <c r="AQ210" s="27"/>
      <c r="AR210" s="27"/>
      <c r="AS210" s="27"/>
      <c r="AT210" s="27"/>
      <c r="AU210" s="27"/>
      <c r="AV210" s="27"/>
      <c r="AW210" s="27"/>
      <c r="AX210" s="27"/>
      <c r="AY210" s="27"/>
      <c r="AZ210" s="27"/>
      <c r="BA210" s="27"/>
      <c r="BB210" s="27"/>
      <c r="BC210" s="27"/>
      <c r="BD210" s="27"/>
      <c r="BE210" s="29">
        <f t="shared" si="213"/>
        <v>0</v>
      </c>
      <c r="BF210" s="20" t="e">
        <f t="shared" si="214"/>
        <v>#DIV/0!</v>
      </c>
      <c r="BG210" s="29">
        <f t="shared" si="215"/>
        <v>0</v>
      </c>
      <c r="BH210" s="20"/>
      <c r="BI210" s="20"/>
      <c r="BJ210" s="5"/>
      <c r="BK210" s="5"/>
      <c r="BL210" s="5"/>
      <c r="BM210" s="5"/>
      <c r="BN210" s="5"/>
      <c r="BO210" s="5"/>
      <c r="BP210" s="5"/>
      <c r="BQ210" s="43"/>
      <c r="BR210" s="43"/>
      <c r="BS210" s="43"/>
      <c r="BT210" s="44"/>
      <c r="BU210" s="43"/>
      <c r="BV210" s="5"/>
      <c r="BW210" s="43"/>
      <c r="BX210" s="43"/>
      <c r="BY210" s="43"/>
      <c r="BZ210" s="44"/>
      <c r="CA210" s="43"/>
      <c r="CB210" s="5"/>
      <c r="CC210" s="45"/>
      <c r="CD210" s="45"/>
      <c r="CE210" s="45"/>
      <c r="CF210" s="46"/>
      <c r="CG210" s="45"/>
      <c r="CH210" s="5"/>
      <c r="CI210" s="44"/>
      <c r="CJ210" s="44"/>
      <c r="CK210" s="44"/>
      <c r="CL210" s="44"/>
      <c r="CM210" s="44"/>
      <c r="CN210" s="47"/>
      <c r="CO210" s="5"/>
      <c r="CP210" s="47"/>
      <c r="CQ210" s="47"/>
      <c r="CR210" s="47"/>
      <c r="CS210" s="47"/>
      <c r="CT210" s="47"/>
      <c r="CU210" s="47"/>
    </row>
    <row r="211" spans="1:99" ht="15" customHeight="1">
      <c r="A211" s="5"/>
      <c r="B211" s="37" t="s">
        <v>364</v>
      </c>
      <c r="C211" s="37" t="s">
        <v>252</v>
      </c>
      <c r="D211" s="37" t="s">
        <v>253</v>
      </c>
      <c r="E211" s="26">
        <v>42551</v>
      </c>
      <c r="F211" s="26"/>
      <c r="G211" s="4">
        <v>26468</v>
      </c>
      <c r="H211" s="4">
        <v>94164</v>
      </c>
      <c r="I211" s="4">
        <v>2126514</v>
      </c>
      <c r="J211" s="4">
        <v>73235</v>
      </c>
      <c r="K211" s="4">
        <v>-516079</v>
      </c>
      <c r="L211" s="4">
        <f>4934+5334</f>
        <v>10268</v>
      </c>
      <c r="M211" s="4">
        <v>0</v>
      </c>
      <c r="N211" s="4">
        <v>564910</v>
      </c>
      <c r="O211" s="4">
        <v>63098</v>
      </c>
      <c r="P211" s="4">
        <f t="shared" si="222"/>
        <v>638276</v>
      </c>
      <c r="Q211" s="4">
        <v>606463</v>
      </c>
      <c r="R211" s="4">
        <v>31813</v>
      </c>
      <c r="S211" s="27"/>
      <c r="T211" s="27"/>
      <c r="U211" s="27"/>
      <c r="V211" s="27"/>
      <c r="W211" s="27"/>
      <c r="X211" s="27"/>
      <c r="Y211" s="27"/>
      <c r="Z211" s="27"/>
      <c r="AA211" s="27">
        <v>1947617</v>
      </c>
      <c r="AB211" s="27">
        <v>1947617</v>
      </c>
      <c r="AC211" s="27"/>
      <c r="AD211" s="27"/>
      <c r="AE211" s="27"/>
      <c r="AF211" s="27"/>
      <c r="AG211" s="27"/>
      <c r="AH211" s="27"/>
      <c r="AI211" s="27"/>
      <c r="AJ211" s="28"/>
      <c r="AK211" s="27"/>
      <c r="AL211" s="27"/>
      <c r="AM211" s="27"/>
      <c r="AN211" s="29"/>
      <c r="AO211" s="20"/>
      <c r="AP211" s="29"/>
      <c r="AQ211" s="27"/>
      <c r="AR211" s="27"/>
      <c r="AS211" s="27"/>
      <c r="AT211" s="27"/>
      <c r="AU211" s="27"/>
      <c r="AV211" s="27"/>
      <c r="AW211" s="27"/>
      <c r="AX211" s="27"/>
      <c r="AY211" s="27"/>
      <c r="AZ211" s="27"/>
      <c r="BA211" s="27"/>
      <c r="BB211" s="27"/>
      <c r="BC211" s="27"/>
      <c r="BD211" s="27"/>
      <c r="BE211" s="29">
        <f t="shared" si="213"/>
        <v>0</v>
      </c>
      <c r="BF211" s="20" t="e">
        <f t="shared" si="214"/>
        <v>#DIV/0!</v>
      </c>
      <c r="BG211" s="29">
        <f t="shared" si="215"/>
        <v>3.0513711936529027</v>
      </c>
      <c r="BH211" s="20"/>
      <c r="BI211" s="20"/>
      <c r="BJ211" s="5"/>
      <c r="BK211" s="5"/>
      <c r="BL211" s="5"/>
      <c r="BM211" s="5"/>
      <c r="BN211" s="5"/>
      <c r="BO211" s="5"/>
      <c r="BP211" s="5"/>
      <c r="BQ211" s="43"/>
      <c r="BR211" s="43"/>
      <c r="BS211" s="43"/>
      <c r="BT211" s="44"/>
      <c r="BU211" s="43"/>
      <c r="BV211" s="5"/>
      <c r="BW211" s="43"/>
      <c r="BX211" s="43"/>
      <c r="BY211" s="43"/>
      <c r="BZ211" s="44"/>
      <c r="CA211" s="43"/>
      <c r="CB211" s="5"/>
      <c r="CC211" s="45"/>
      <c r="CD211" s="45"/>
      <c r="CE211" s="45"/>
      <c r="CF211" s="46"/>
      <c r="CG211" s="45"/>
      <c r="CH211" s="5"/>
      <c r="CI211" s="44"/>
      <c r="CJ211" s="44"/>
      <c r="CK211" s="44"/>
      <c r="CL211" s="44"/>
      <c r="CM211" s="44"/>
      <c r="CN211" s="47"/>
      <c r="CO211" s="5"/>
      <c r="CP211" s="47"/>
      <c r="CQ211" s="47"/>
      <c r="CR211" s="47"/>
      <c r="CS211" s="47"/>
      <c r="CT211" s="47"/>
      <c r="CU211" s="47"/>
    </row>
    <row r="212" spans="1:99" ht="15" customHeight="1">
      <c r="A212" s="5"/>
      <c r="B212" s="37" t="s">
        <v>365</v>
      </c>
      <c r="C212" s="37" t="s">
        <v>252</v>
      </c>
      <c r="D212" s="37" t="s">
        <v>253</v>
      </c>
      <c r="E212" s="26">
        <v>42551</v>
      </c>
      <c r="F212" s="26"/>
      <c r="G212" s="4">
        <v>2719717</v>
      </c>
      <c r="H212" s="4">
        <v>129213</v>
      </c>
      <c r="I212" s="4">
        <v>5082882</v>
      </c>
      <c r="J212" s="4">
        <v>4365435</v>
      </c>
      <c r="K212" s="4">
        <v>2564918</v>
      </c>
      <c r="L212" s="4">
        <v>1492918</v>
      </c>
      <c r="M212" s="4">
        <v>0</v>
      </c>
      <c r="N212" s="4">
        <v>0</v>
      </c>
      <c r="O212" s="4">
        <v>0</v>
      </c>
      <c r="P212" s="4">
        <f t="shared" si="222"/>
        <v>1492918</v>
      </c>
      <c r="Q212" s="4">
        <v>1430525</v>
      </c>
      <c r="R212" s="4">
        <v>62393</v>
      </c>
      <c r="S212" s="27">
        <v>1465343</v>
      </c>
      <c r="T212" s="27">
        <v>1210722</v>
      </c>
      <c r="U212" s="27">
        <v>1465708</v>
      </c>
      <c r="V212" s="27">
        <v>1310346</v>
      </c>
      <c r="W212" s="27">
        <v>47975</v>
      </c>
      <c r="X212" s="27">
        <v>94524</v>
      </c>
      <c r="Y212" s="27">
        <v>0</v>
      </c>
      <c r="Z212" s="27">
        <v>0</v>
      </c>
      <c r="AA212" s="27">
        <v>493710</v>
      </c>
      <c r="AB212" s="27">
        <f>SUM(X212:AA212)</f>
        <v>588234</v>
      </c>
      <c r="AC212" s="27"/>
      <c r="AD212" s="27"/>
      <c r="AE212" s="27"/>
      <c r="AF212" s="27"/>
      <c r="AG212" s="27"/>
      <c r="AH212" s="27"/>
      <c r="AI212" s="27"/>
      <c r="AJ212" s="28"/>
      <c r="AK212" s="27"/>
      <c r="AL212" s="27"/>
      <c r="AM212" s="27"/>
      <c r="AN212" s="29"/>
      <c r="AO212" s="20"/>
      <c r="AP212" s="29"/>
      <c r="AQ212" s="27"/>
      <c r="AR212" s="27"/>
      <c r="AS212" s="27">
        <v>0</v>
      </c>
      <c r="AT212" s="27">
        <v>0</v>
      </c>
      <c r="AU212" s="27">
        <v>0</v>
      </c>
      <c r="AV212" s="27">
        <v>0</v>
      </c>
      <c r="AW212" s="27">
        <v>1856524</v>
      </c>
      <c r="AX212" s="27">
        <f>AS212+AT212+AU212+AV212+AW212</f>
        <v>1856524</v>
      </c>
      <c r="AY212" s="27">
        <v>0</v>
      </c>
      <c r="AZ212" s="27">
        <v>0</v>
      </c>
      <c r="BA212" s="27">
        <v>673468</v>
      </c>
      <c r="BB212" s="27">
        <v>0</v>
      </c>
      <c r="BC212" s="27">
        <v>1856524</v>
      </c>
      <c r="BD212" s="27">
        <f>AY212+AZ212+BA212+BB212+BC212</f>
        <v>2529992</v>
      </c>
      <c r="BE212" s="29">
        <f t="shared" si="213"/>
        <v>0</v>
      </c>
      <c r="BF212" s="29">
        <f t="shared" si="214"/>
        <v>1.5334023830408632</v>
      </c>
      <c r="BG212" s="29">
        <f t="shared" si="215"/>
        <v>0.39401628220706025</v>
      </c>
      <c r="BH212" s="20"/>
      <c r="BI212" s="20"/>
      <c r="BJ212" s="5"/>
      <c r="BK212" s="5"/>
      <c r="BL212" s="5"/>
      <c r="BM212" s="5"/>
      <c r="BN212" s="5"/>
      <c r="BO212" s="5"/>
      <c r="BP212" s="5"/>
      <c r="BQ212" s="43"/>
      <c r="BR212" s="43"/>
      <c r="BS212" s="43"/>
      <c r="BT212" s="44"/>
      <c r="BU212" s="43"/>
      <c r="BV212" s="5"/>
      <c r="BW212" s="43"/>
      <c r="BX212" s="43"/>
      <c r="BY212" s="43"/>
      <c r="BZ212" s="44"/>
      <c r="CA212" s="43"/>
      <c r="CB212" s="5"/>
      <c r="CC212" s="45"/>
      <c r="CD212" s="45"/>
      <c r="CE212" s="45"/>
      <c r="CF212" s="46"/>
      <c r="CG212" s="45"/>
      <c r="CH212" s="5"/>
      <c r="CI212" s="44"/>
      <c r="CJ212" s="44"/>
      <c r="CK212" s="44"/>
      <c r="CL212" s="44"/>
      <c r="CM212" s="44"/>
      <c r="CN212" s="47"/>
      <c r="CO212" s="5"/>
      <c r="CP212" s="47"/>
      <c r="CQ212" s="47"/>
      <c r="CR212" s="47"/>
      <c r="CS212" s="47"/>
      <c r="CT212" s="47"/>
      <c r="CU212" s="47"/>
    </row>
    <row r="213" spans="1:99" ht="15" customHeight="1">
      <c r="A213" s="5"/>
      <c r="B213" s="37" t="s">
        <v>366</v>
      </c>
      <c r="C213" s="37" t="s">
        <v>252</v>
      </c>
      <c r="D213" s="37" t="s">
        <v>253</v>
      </c>
      <c r="E213" s="26">
        <v>42551</v>
      </c>
      <c r="F213" s="26"/>
      <c r="G213" s="4">
        <v>2555456</v>
      </c>
      <c r="H213" s="4">
        <v>1228627</v>
      </c>
      <c r="I213" s="4">
        <v>2555456</v>
      </c>
      <c r="J213" s="4">
        <v>1326829</v>
      </c>
      <c r="K213" s="4">
        <v>1269957</v>
      </c>
      <c r="L213" s="4">
        <v>276844</v>
      </c>
      <c r="M213" s="4">
        <v>0</v>
      </c>
      <c r="N213" s="4">
        <v>0</v>
      </c>
      <c r="O213" s="4">
        <v>2356944</v>
      </c>
      <c r="P213" s="4">
        <f t="shared" si="222"/>
        <v>2633788</v>
      </c>
      <c r="Q213" s="4">
        <v>2379230</v>
      </c>
      <c r="R213" s="4">
        <v>254558</v>
      </c>
      <c r="S213" s="27">
        <v>2633789</v>
      </c>
      <c r="T213" s="27">
        <v>2425659</v>
      </c>
      <c r="U213" s="27"/>
      <c r="V213" s="27"/>
      <c r="W213" s="27">
        <v>208130</v>
      </c>
      <c r="X213" s="27"/>
      <c r="Y213" s="27"/>
      <c r="Z213" s="27"/>
      <c r="AA213" s="27"/>
      <c r="AB213" s="27"/>
      <c r="AC213" s="27"/>
      <c r="AD213" s="27"/>
      <c r="AE213" s="27"/>
      <c r="AF213" s="27"/>
      <c r="AG213" s="27"/>
      <c r="AH213" s="27"/>
      <c r="AI213" s="27"/>
      <c r="AJ213" s="28"/>
      <c r="AK213" s="27"/>
      <c r="AL213" s="27"/>
      <c r="AM213" s="27"/>
      <c r="AN213" s="29"/>
      <c r="AO213" s="20"/>
      <c r="AP213" s="29"/>
      <c r="AQ213" s="27"/>
      <c r="AR213" s="27"/>
      <c r="AS213" s="27">
        <v>0</v>
      </c>
      <c r="AT213" s="27">
        <v>0</v>
      </c>
      <c r="AU213" s="27">
        <v>0</v>
      </c>
      <c r="AV213" s="27">
        <v>0</v>
      </c>
      <c r="AW213" s="27">
        <v>1269957</v>
      </c>
      <c r="AX213" s="27">
        <f>AS213+AT213+AU213+AV213+AW213</f>
        <v>1269957</v>
      </c>
      <c r="AY213" s="27"/>
      <c r="AZ213" s="27"/>
      <c r="BA213" s="27"/>
      <c r="BB213" s="27"/>
      <c r="BC213" s="27"/>
      <c r="BD213" s="27"/>
      <c r="BE213" s="29">
        <f t="shared" ref="BE213:BE244" si="224">AQ213/P213</f>
        <v>0</v>
      </c>
      <c r="BF213" s="29">
        <f t="shared" ref="BF213:BF244" si="225">AX213/T213</f>
        <v>0.52355133182364055</v>
      </c>
      <c r="BG213" s="29">
        <f t="shared" ref="BG213:BG244" si="226">(AB213-Y213)/P213</f>
        <v>0</v>
      </c>
      <c r="BH213" s="20"/>
      <c r="BI213" s="20"/>
      <c r="BJ213" s="5"/>
      <c r="BK213" s="5"/>
      <c r="BL213" s="5"/>
      <c r="BM213" s="5"/>
      <c r="BN213" s="5"/>
      <c r="BO213" s="5"/>
      <c r="BP213" s="5"/>
      <c r="BQ213" s="43"/>
      <c r="BR213" s="43"/>
      <c r="BS213" s="43"/>
      <c r="BT213" s="44"/>
      <c r="BU213" s="43"/>
      <c r="BV213" s="5"/>
      <c r="BW213" s="43"/>
      <c r="BX213" s="43"/>
      <c r="BY213" s="43"/>
      <c r="BZ213" s="44"/>
      <c r="CA213" s="43"/>
      <c r="CB213" s="5"/>
      <c r="CC213" s="45"/>
      <c r="CD213" s="45"/>
      <c r="CE213" s="45"/>
      <c r="CF213" s="46"/>
      <c r="CG213" s="45"/>
      <c r="CH213" s="5"/>
      <c r="CI213" s="44"/>
      <c r="CJ213" s="44"/>
      <c r="CK213" s="44"/>
      <c r="CL213" s="44"/>
      <c r="CM213" s="44"/>
      <c r="CN213" s="47"/>
      <c r="CO213" s="5"/>
      <c r="CP213" s="47"/>
      <c r="CQ213" s="47"/>
      <c r="CR213" s="47"/>
      <c r="CS213" s="47"/>
      <c r="CT213" s="47"/>
      <c r="CU213" s="47"/>
    </row>
    <row r="214" spans="1:99" ht="15" customHeight="1">
      <c r="A214" s="5"/>
      <c r="B214" s="37" t="s">
        <v>367</v>
      </c>
      <c r="C214" s="37" t="s">
        <v>252</v>
      </c>
      <c r="D214" s="37" t="s">
        <v>253</v>
      </c>
      <c r="E214" s="26">
        <v>42551</v>
      </c>
      <c r="F214" s="26"/>
      <c r="G214" s="4">
        <v>261732</v>
      </c>
      <c r="H214" s="4">
        <v>1626452</v>
      </c>
      <c r="I214" s="4">
        <v>3792942</v>
      </c>
      <c r="J214" s="4">
        <v>3792942</v>
      </c>
      <c r="K214" s="4">
        <v>-6920276</v>
      </c>
      <c r="L214" s="4">
        <v>0</v>
      </c>
      <c r="M214" s="4">
        <v>0</v>
      </c>
      <c r="N214" s="4">
        <v>4603655</v>
      </c>
      <c r="O214" s="4">
        <v>0</v>
      </c>
      <c r="P214" s="4">
        <f t="shared" si="222"/>
        <v>4603655</v>
      </c>
      <c r="Q214" s="4">
        <v>4009386</v>
      </c>
      <c r="R214" s="4">
        <v>-425085</v>
      </c>
      <c r="S214" s="27"/>
      <c r="T214" s="27"/>
      <c r="U214" s="27"/>
      <c r="V214" s="27"/>
      <c r="W214" s="27"/>
      <c r="X214" s="27"/>
      <c r="Y214" s="27"/>
      <c r="Z214" s="27"/>
      <c r="AA214" s="27">
        <f t="shared" ref="AA214:AB214" si="227">1585099+7501667</f>
        <v>9086766</v>
      </c>
      <c r="AB214" s="27">
        <f t="shared" si="227"/>
        <v>9086766</v>
      </c>
      <c r="AC214" s="27"/>
      <c r="AD214" s="27"/>
      <c r="AE214" s="27"/>
      <c r="AF214" s="27"/>
      <c r="AG214" s="27"/>
      <c r="AH214" s="27"/>
      <c r="AI214" s="27"/>
      <c r="AJ214" s="28"/>
      <c r="AK214" s="27"/>
      <c r="AL214" s="27"/>
      <c r="AM214" s="27"/>
      <c r="AN214" s="29"/>
      <c r="AO214" s="20"/>
      <c r="AP214" s="29"/>
      <c r="AQ214" s="27"/>
      <c r="AR214" s="27"/>
      <c r="AS214" s="27"/>
      <c r="AT214" s="27"/>
      <c r="AU214" s="27"/>
      <c r="AV214" s="27"/>
      <c r="AW214" s="27"/>
      <c r="AX214" s="27"/>
      <c r="AY214" s="27"/>
      <c r="AZ214" s="27"/>
      <c r="BA214" s="27"/>
      <c r="BB214" s="27"/>
      <c r="BC214" s="27"/>
      <c r="BD214" s="27"/>
      <c r="BE214" s="29">
        <f t="shared" si="224"/>
        <v>0</v>
      </c>
      <c r="BF214" s="20" t="e">
        <f t="shared" si="225"/>
        <v>#DIV/0!</v>
      </c>
      <c r="BG214" s="29">
        <f t="shared" si="226"/>
        <v>1.9738155878318424</v>
      </c>
      <c r="BH214" s="20"/>
      <c r="BI214" s="20"/>
      <c r="BJ214" s="5"/>
      <c r="BK214" s="5"/>
      <c r="BL214" s="5"/>
      <c r="BM214" s="5"/>
      <c r="BN214" s="5"/>
      <c r="BO214" s="5"/>
      <c r="BP214" s="5"/>
      <c r="BQ214" s="43"/>
      <c r="BR214" s="43"/>
      <c r="BS214" s="43"/>
      <c r="BT214" s="44"/>
      <c r="BU214" s="43"/>
      <c r="BV214" s="5"/>
      <c r="BW214" s="43"/>
      <c r="BX214" s="43"/>
      <c r="BY214" s="43"/>
      <c r="BZ214" s="44"/>
      <c r="CA214" s="43"/>
      <c r="CB214" s="5"/>
      <c r="CC214" s="45"/>
      <c r="CD214" s="45"/>
      <c r="CE214" s="45"/>
      <c r="CF214" s="46"/>
      <c r="CG214" s="45"/>
      <c r="CH214" s="5"/>
      <c r="CI214" s="44"/>
      <c r="CJ214" s="44"/>
      <c r="CK214" s="44"/>
      <c r="CL214" s="44"/>
      <c r="CM214" s="44"/>
      <c r="CN214" s="47"/>
      <c r="CO214" s="5"/>
      <c r="CP214" s="47"/>
      <c r="CQ214" s="47"/>
      <c r="CR214" s="47"/>
      <c r="CS214" s="47"/>
      <c r="CT214" s="47"/>
      <c r="CU214" s="47"/>
    </row>
    <row r="215" spans="1:99" ht="15" customHeight="1">
      <c r="A215" s="5"/>
      <c r="B215" s="37" t="s">
        <v>368</v>
      </c>
      <c r="C215" s="37" t="s">
        <v>252</v>
      </c>
      <c r="D215" s="37" t="s">
        <v>253</v>
      </c>
      <c r="E215" s="26">
        <v>42551</v>
      </c>
      <c r="F215" s="26"/>
      <c r="G215" s="4">
        <v>3372419</v>
      </c>
      <c r="H215" s="4">
        <v>1757604</v>
      </c>
      <c r="I215" s="4">
        <v>8368570</v>
      </c>
      <c r="J215" s="4">
        <v>3997975</v>
      </c>
      <c r="K215" s="4">
        <v>3767290</v>
      </c>
      <c r="L215" s="4">
        <v>0</v>
      </c>
      <c r="M215" s="4">
        <v>0</v>
      </c>
      <c r="N215" s="4">
        <f>6206446+179338+159482+3283+36873+75032+54096</f>
        <v>6714550</v>
      </c>
      <c r="O215" s="4">
        <f>11778201+195520</f>
        <v>11973721</v>
      </c>
      <c r="P215" s="4">
        <f t="shared" si="222"/>
        <v>18688271</v>
      </c>
      <c r="Q215" s="4">
        <v>18179846</v>
      </c>
      <c r="R215" s="4">
        <v>458347</v>
      </c>
      <c r="S215" s="27"/>
      <c r="T215" s="27"/>
      <c r="U215" s="27"/>
      <c r="V215" s="27"/>
      <c r="W215" s="27"/>
      <c r="X215" s="27"/>
      <c r="Y215" s="27"/>
      <c r="Z215" s="27"/>
      <c r="AA215" s="27">
        <v>2612991</v>
      </c>
      <c r="AB215" s="27">
        <v>2612991</v>
      </c>
      <c r="AC215" s="27"/>
      <c r="AD215" s="27"/>
      <c r="AE215" s="27"/>
      <c r="AF215" s="27"/>
      <c r="AG215" s="27"/>
      <c r="AH215" s="27"/>
      <c r="AI215" s="27"/>
      <c r="AJ215" s="28"/>
      <c r="AK215" s="27"/>
      <c r="AL215" s="27"/>
      <c r="AM215" s="27"/>
      <c r="AN215" s="29"/>
      <c r="AO215" s="20"/>
      <c r="AP215" s="29"/>
      <c r="AQ215" s="27"/>
      <c r="AR215" s="27"/>
      <c r="AS215" s="27"/>
      <c r="AT215" s="27"/>
      <c r="AU215" s="27"/>
      <c r="AV215" s="27"/>
      <c r="AW215" s="27"/>
      <c r="AX215" s="27"/>
      <c r="AY215" s="27"/>
      <c r="AZ215" s="27"/>
      <c r="BA215" s="27"/>
      <c r="BB215" s="27"/>
      <c r="BC215" s="27"/>
      <c r="BD215" s="27"/>
      <c r="BE215" s="29">
        <f t="shared" si="224"/>
        <v>0</v>
      </c>
      <c r="BF215" s="20" t="e">
        <f t="shared" si="225"/>
        <v>#DIV/0!</v>
      </c>
      <c r="BG215" s="29">
        <f t="shared" si="226"/>
        <v>0.13981983673074946</v>
      </c>
      <c r="BH215" s="20"/>
      <c r="BI215" s="20"/>
      <c r="BJ215" s="5"/>
      <c r="BK215" s="5"/>
      <c r="BL215" s="5"/>
      <c r="BM215" s="5"/>
      <c r="BN215" s="5"/>
      <c r="BO215" s="5"/>
      <c r="BP215" s="5"/>
      <c r="BQ215" s="43"/>
      <c r="BR215" s="43"/>
      <c r="BS215" s="43"/>
      <c r="BT215" s="44"/>
      <c r="BU215" s="43"/>
      <c r="BV215" s="5"/>
      <c r="BW215" s="43"/>
      <c r="BX215" s="43"/>
      <c r="BY215" s="43"/>
      <c r="BZ215" s="44"/>
      <c r="CA215" s="43"/>
      <c r="CB215" s="5"/>
      <c r="CC215" s="45"/>
      <c r="CD215" s="45"/>
      <c r="CE215" s="45"/>
      <c r="CF215" s="46"/>
      <c r="CG215" s="45"/>
      <c r="CH215" s="5"/>
      <c r="CI215" s="44"/>
      <c r="CJ215" s="44"/>
      <c r="CK215" s="44"/>
      <c r="CL215" s="44"/>
      <c r="CM215" s="44"/>
      <c r="CN215" s="47"/>
      <c r="CO215" s="5"/>
      <c r="CP215" s="47"/>
      <c r="CQ215" s="47"/>
      <c r="CR215" s="47"/>
      <c r="CS215" s="47"/>
      <c r="CT215" s="47"/>
      <c r="CU215" s="47"/>
    </row>
    <row r="216" spans="1:99" ht="15" customHeight="1">
      <c r="A216" s="5"/>
      <c r="B216" s="37" t="s">
        <v>369</v>
      </c>
      <c r="C216" s="37" t="s">
        <v>252</v>
      </c>
      <c r="D216" s="37" t="s">
        <v>253</v>
      </c>
      <c r="E216" s="26">
        <v>42551</v>
      </c>
      <c r="F216" s="26"/>
      <c r="G216" s="4">
        <v>846812</v>
      </c>
      <c r="H216" s="4">
        <v>33420</v>
      </c>
      <c r="I216" s="4">
        <v>934578</v>
      </c>
      <c r="J216" s="4">
        <v>895375</v>
      </c>
      <c r="K216" s="4">
        <v>807609</v>
      </c>
      <c r="L216" s="4">
        <v>1028061</v>
      </c>
      <c r="M216" s="4">
        <v>0</v>
      </c>
      <c r="N216" s="4">
        <v>0</v>
      </c>
      <c r="O216" s="4">
        <v>0</v>
      </c>
      <c r="P216" s="4">
        <f t="shared" si="222"/>
        <v>1028061</v>
      </c>
      <c r="Q216" s="4">
        <v>1006241</v>
      </c>
      <c r="R216" s="4">
        <v>21820</v>
      </c>
      <c r="S216" s="27">
        <v>1028061</v>
      </c>
      <c r="T216" s="27">
        <v>998118</v>
      </c>
      <c r="U216" s="27">
        <v>1028061</v>
      </c>
      <c r="V216" s="27">
        <v>1006241</v>
      </c>
      <c r="W216" s="27">
        <v>29943</v>
      </c>
      <c r="X216" s="27"/>
      <c r="Y216" s="27"/>
      <c r="Z216" s="27"/>
      <c r="AA216" s="27"/>
      <c r="AB216" s="27"/>
      <c r="AC216" s="27"/>
      <c r="AD216" s="27"/>
      <c r="AE216" s="27"/>
      <c r="AF216" s="27"/>
      <c r="AG216" s="27"/>
      <c r="AH216" s="27"/>
      <c r="AI216" s="27"/>
      <c r="AJ216" s="28"/>
      <c r="AK216" s="27"/>
      <c r="AL216" s="27"/>
      <c r="AM216" s="27"/>
      <c r="AN216" s="29"/>
      <c r="AO216" s="20"/>
      <c r="AP216" s="29"/>
      <c r="AQ216" s="27"/>
      <c r="AR216" s="27"/>
      <c r="AS216" s="27"/>
      <c r="AT216" s="27"/>
      <c r="AU216" s="27"/>
      <c r="AV216" s="27"/>
      <c r="AW216" s="27"/>
      <c r="AX216" s="27"/>
      <c r="AY216" s="27"/>
      <c r="AZ216" s="27"/>
      <c r="BA216" s="27"/>
      <c r="BB216" s="27"/>
      <c r="BC216" s="27"/>
      <c r="BD216" s="27"/>
      <c r="BE216" s="29">
        <f t="shared" si="224"/>
        <v>0</v>
      </c>
      <c r="BF216" s="29">
        <f t="shared" si="225"/>
        <v>0</v>
      </c>
      <c r="BG216" s="29">
        <f t="shared" si="226"/>
        <v>0</v>
      </c>
      <c r="BH216" s="20"/>
      <c r="BI216" s="20"/>
      <c r="BJ216" s="5"/>
      <c r="BK216" s="5"/>
      <c r="BL216" s="5"/>
      <c r="BM216" s="5"/>
      <c r="BN216" s="5"/>
      <c r="BO216" s="5"/>
      <c r="BP216" s="5"/>
      <c r="BQ216" s="43"/>
      <c r="BR216" s="43"/>
      <c r="BS216" s="43"/>
      <c r="BT216" s="44"/>
      <c r="BU216" s="43"/>
      <c r="BV216" s="5"/>
      <c r="BW216" s="43"/>
      <c r="BX216" s="43"/>
      <c r="BY216" s="43"/>
      <c r="BZ216" s="44"/>
      <c r="CA216" s="43"/>
      <c r="CB216" s="5"/>
      <c r="CC216" s="45"/>
      <c r="CD216" s="45"/>
      <c r="CE216" s="45"/>
      <c r="CF216" s="46"/>
      <c r="CG216" s="45"/>
      <c r="CH216" s="5"/>
      <c r="CI216" s="44"/>
      <c r="CJ216" s="44"/>
      <c r="CK216" s="44"/>
      <c r="CL216" s="44"/>
      <c r="CM216" s="44"/>
      <c r="CN216" s="47"/>
      <c r="CO216" s="5"/>
      <c r="CP216" s="47"/>
      <c r="CQ216" s="47"/>
      <c r="CR216" s="47"/>
      <c r="CS216" s="47"/>
      <c r="CT216" s="47"/>
      <c r="CU216" s="47"/>
    </row>
    <row r="217" spans="1:99" ht="15" customHeight="1">
      <c r="A217" s="5"/>
      <c r="B217" s="62" t="s">
        <v>370</v>
      </c>
      <c r="C217" s="37" t="s">
        <v>252</v>
      </c>
      <c r="D217" s="62" t="s">
        <v>253</v>
      </c>
      <c r="E217" s="63">
        <v>42551</v>
      </c>
      <c r="F217" s="63"/>
      <c r="G217" s="64">
        <v>974340</v>
      </c>
      <c r="H217" s="64">
        <v>663880</v>
      </c>
      <c r="I217" s="64">
        <v>2969473</v>
      </c>
      <c r="J217" s="64">
        <v>1094336</v>
      </c>
      <c r="K217" s="64">
        <v>160273</v>
      </c>
      <c r="L217" s="64">
        <v>67612</v>
      </c>
      <c r="M217" s="64">
        <v>0</v>
      </c>
      <c r="N217" s="64">
        <v>1487953</v>
      </c>
      <c r="O217" s="64">
        <f>804542+331046</f>
        <v>1135588</v>
      </c>
      <c r="P217" s="64">
        <f t="shared" si="222"/>
        <v>2691153</v>
      </c>
      <c r="Q217" s="64">
        <v>2629123</v>
      </c>
      <c r="R217" s="64">
        <v>29063</v>
      </c>
      <c r="S217" s="65"/>
      <c r="T217" s="65"/>
      <c r="U217" s="65"/>
      <c r="V217" s="65"/>
      <c r="W217" s="65"/>
      <c r="X217" s="65">
        <v>69124</v>
      </c>
      <c r="Y217" s="65"/>
      <c r="Z217" s="65"/>
      <c r="AA217" s="65">
        <v>928571</v>
      </c>
      <c r="AB217" s="65">
        <f>SUM(X217:AA217)</f>
        <v>997695</v>
      </c>
      <c r="AC217" s="65"/>
      <c r="AD217" s="65"/>
      <c r="AE217" s="65"/>
      <c r="AF217" s="65"/>
      <c r="AG217" s="65"/>
      <c r="AH217" s="65"/>
      <c r="AI217" s="65"/>
      <c r="AJ217" s="66"/>
      <c r="AK217" s="65"/>
      <c r="AL217" s="65"/>
      <c r="AM217" s="65"/>
      <c r="AN217" s="67"/>
      <c r="AO217" s="68"/>
      <c r="AP217" s="67"/>
      <c r="AQ217" s="65"/>
      <c r="AR217" s="65"/>
      <c r="AS217" s="65"/>
      <c r="AT217" s="65"/>
      <c r="AU217" s="65"/>
      <c r="AV217" s="65"/>
      <c r="AW217" s="65"/>
      <c r="AX217" s="65"/>
      <c r="AY217" s="65"/>
      <c r="AZ217" s="65"/>
      <c r="BA217" s="65"/>
      <c r="BB217" s="65"/>
      <c r="BC217" s="65"/>
      <c r="BD217" s="65"/>
      <c r="BE217" s="29">
        <f t="shared" si="224"/>
        <v>0</v>
      </c>
      <c r="BF217" s="20" t="e">
        <f t="shared" si="225"/>
        <v>#DIV/0!</v>
      </c>
      <c r="BG217" s="29">
        <f t="shared" si="226"/>
        <v>0.37073142998558611</v>
      </c>
      <c r="BH217" s="20"/>
      <c r="BI217" s="20"/>
      <c r="BJ217" s="5"/>
      <c r="BK217" s="5"/>
      <c r="BL217" s="5"/>
      <c r="BM217" s="5"/>
      <c r="BN217" s="5"/>
      <c r="BO217" s="5"/>
      <c r="BP217" s="5"/>
      <c r="BQ217" s="43"/>
      <c r="BR217" s="43"/>
      <c r="BS217" s="43"/>
      <c r="BT217" s="44"/>
      <c r="BU217" s="43"/>
      <c r="BV217" s="5"/>
      <c r="BW217" s="43"/>
      <c r="BX217" s="43"/>
      <c r="BY217" s="43"/>
      <c r="BZ217" s="44"/>
      <c r="CA217" s="43"/>
      <c r="CB217" s="5"/>
      <c r="CC217" s="45"/>
      <c r="CD217" s="45"/>
      <c r="CE217" s="45"/>
      <c r="CF217" s="46"/>
      <c r="CG217" s="45"/>
      <c r="CH217" s="5"/>
      <c r="CI217" s="44"/>
      <c r="CJ217" s="44"/>
      <c r="CK217" s="44"/>
      <c r="CL217" s="44"/>
      <c r="CM217" s="44"/>
      <c r="CN217" s="47"/>
      <c r="CO217" s="5"/>
      <c r="CP217" s="47"/>
      <c r="CQ217" s="47"/>
      <c r="CR217" s="47"/>
      <c r="CS217" s="47"/>
      <c r="CT217" s="47"/>
      <c r="CU217" s="47"/>
    </row>
    <row r="218" spans="1:99" ht="15" customHeight="1">
      <c r="A218" s="69"/>
      <c r="B218" s="70" t="s">
        <v>371</v>
      </c>
      <c r="C218" s="71" t="s">
        <v>252</v>
      </c>
      <c r="D218" s="70" t="s">
        <v>253</v>
      </c>
      <c r="E218" s="72">
        <v>42551</v>
      </c>
      <c r="F218" s="72"/>
      <c r="G218" s="73">
        <v>1936648</v>
      </c>
      <c r="H218" s="73">
        <v>1883698</v>
      </c>
      <c r="I218" s="73">
        <v>13409412</v>
      </c>
      <c r="J218" s="73"/>
      <c r="K218" s="73"/>
      <c r="L218" s="73">
        <f>357533+7985+86338</f>
        <v>451856</v>
      </c>
      <c r="M218" s="73">
        <v>0</v>
      </c>
      <c r="N218" s="73">
        <f>4674884+395994+31985</f>
        <v>5102863</v>
      </c>
      <c r="O218" s="73">
        <f>13285317+195634</f>
        <v>13480951</v>
      </c>
      <c r="P218" s="73">
        <f t="shared" si="222"/>
        <v>19035670</v>
      </c>
      <c r="Q218" s="73">
        <v>18603630</v>
      </c>
      <c r="R218" s="73">
        <v>432040</v>
      </c>
      <c r="S218" s="74"/>
      <c r="T218" s="74"/>
      <c r="U218" s="74"/>
      <c r="V218" s="74"/>
      <c r="W218" s="74"/>
      <c r="X218" s="74"/>
      <c r="Y218" s="74"/>
      <c r="Z218" s="74"/>
      <c r="AA218" s="74">
        <v>6434194</v>
      </c>
      <c r="AB218" s="74">
        <v>6434194</v>
      </c>
      <c r="AC218" s="74"/>
      <c r="AD218" s="74"/>
      <c r="AE218" s="74"/>
      <c r="AF218" s="74"/>
      <c r="AG218" s="74"/>
      <c r="AH218" s="74"/>
      <c r="AI218" s="74"/>
      <c r="AJ218" s="75"/>
      <c r="AK218" s="74"/>
      <c r="AL218" s="74"/>
      <c r="AM218" s="74"/>
      <c r="AN218" s="76"/>
      <c r="AO218" s="77"/>
      <c r="AP218" s="76"/>
      <c r="AQ218" s="74"/>
      <c r="AR218" s="74"/>
      <c r="AS218" s="74"/>
      <c r="AT218" s="74"/>
      <c r="AU218" s="74"/>
      <c r="AV218" s="74"/>
      <c r="AW218" s="74"/>
      <c r="AX218" s="74"/>
      <c r="AY218" s="74"/>
      <c r="AZ218" s="74"/>
      <c r="BA218" s="74"/>
      <c r="BB218" s="74"/>
      <c r="BC218" s="74"/>
      <c r="BD218" s="74"/>
      <c r="BE218" s="78">
        <f t="shared" si="224"/>
        <v>0</v>
      </c>
      <c r="BF218" s="20" t="e">
        <f t="shared" si="225"/>
        <v>#DIV/0!</v>
      </c>
      <c r="BG218" s="29">
        <f t="shared" si="226"/>
        <v>0.3380072253826632</v>
      </c>
      <c r="BH218" s="20"/>
      <c r="BI218" s="20"/>
      <c r="BJ218" s="5"/>
      <c r="BK218" s="5"/>
      <c r="BL218" s="5"/>
      <c r="BM218" s="5"/>
      <c r="BN218" s="5"/>
      <c r="BO218" s="5"/>
      <c r="BP218" s="5"/>
      <c r="BQ218" s="43"/>
      <c r="BR218" s="43"/>
      <c r="BS218" s="43"/>
      <c r="BT218" s="44"/>
      <c r="BU218" s="43"/>
      <c r="BV218" s="5"/>
      <c r="BW218" s="43"/>
      <c r="BX218" s="43"/>
      <c r="BY218" s="43"/>
      <c r="BZ218" s="44"/>
      <c r="CA218" s="43"/>
      <c r="CB218" s="5"/>
      <c r="CC218" s="45"/>
      <c r="CD218" s="45"/>
      <c r="CE218" s="45"/>
      <c r="CF218" s="46"/>
      <c r="CG218" s="45"/>
      <c r="CH218" s="5"/>
      <c r="CI218" s="44"/>
      <c r="CJ218" s="44"/>
      <c r="CK218" s="44"/>
      <c r="CL218" s="44"/>
      <c r="CM218" s="44"/>
      <c r="CN218" s="47"/>
      <c r="CO218" s="5"/>
      <c r="CP218" s="47"/>
      <c r="CQ218" s="47"/>
      <c r="CR218" s="47"/>
      <c r="CS218" s="47"/>
      <c r="CT218" s="47"/>
      <c r="CU218" s="47"/>
    </row>
    <row r="219" spans="1:99" ht="15" customHeight="1">
      <c r="A219" s="69"/>
      <c r="B219" s="70" t="s">
        <v>372</v>
      </c>
      <c r="C219" s="71" t="s">
        <v>252</v>
      </c>
      <c r="D219" s="70" t="s">
        <v>253</v>
      </c>
      <c r="E219" s="72">
        <v>42551</v>
      </c>
      <c r="F219" s="72"/>
      <c r="G219" s="73">
        <v>680132</v>
      </c>
      <c r="H219" s="73">
        <v>411376</v>
      </c>
      <c r="I219" s="73">
        <v>870897</v>
      </c>
      <c r="J219" s="73">
        <v>484975</v>
      </c>
      <c r="K219" s="73">
        <v>294210</v>
      </c>
      <c r="L219" s="73">
        <v>1631</v>
      </c>
      <c r="M219" s="73">
        <v>0</v>
      </c>
      <c r="N219" s="73">
        <v>189838</v>
      </c>
      <c r="O219" s="73">
        <v>1066610</v>
      </c>
      <c r="P219" s="73">
        <f t="shared" si="222"/>
        <v>1258079</v>
      </c>
      <c r="Q219" s="73">
        <v>1320786</v>
      </c>
      <c r="R219" s="73">
        <v>-62707</v>
      </c>
      <c r="S219" s="74">
        <v>985961</v>
      </c>
      <c r="T219" s="74">
        <v>1072888</v>
      </c>
      <c r="U219" s="74">
        <v>1246705</v>
      </c>
      <c r="V219" s="74">
        <v>1345006</v>
      </c>
      <c r="W219" s="74">
        <v>-86927</v>
      </c>
      <c r="X219" s="74">
        <v>14429</v>
      </c>
      <c r="Y219" s="74">
        <v>313209</v>
      </c>
      <c r="Z219" s="74">
        <v>0</v>
      </c>
      <c r="AA219" s="74">
        <v>43288</v>
      </c>
      <c r="AB219" s="74">
        <f>SUM(X219:AA219)</f>
        <v>370926</v>
      </c>
      <c r="AC219" s="74"/>
      <c r="AD219" s="74"/>
      <c r="AE219" s="74"/>
      <c r="AF219" s="74"/>
      <c r="AG219" s="74"/>
      <c r="AH219" s="74"/>
      <c r="AI219" s="74"/>
      <c r="AJ219" s="75"/>
      <c r="AK219" s="74"/>
      <c r="AL219" s="74"/>
      <c r="AM219" s="74"/>
      <c r="AN219" s="76"/>
      <c r="AO219" s="77"/>
      <c r="AP219" s="76"/>
      <c r="AQ219" s="74"/>
      <c r="AR219" s="74">
        <v>63532</v>
      </c>
      <c r="AS219" s="74">
        <v>32458</v>
      </c>
      <c r="AT219" s="74">
        <v>0</v>
      </c>
      <c r="AU219" s="74">
        <v>45000</v>
      </c>
      <c r="AV219" s="74">
        <v>40350</v>
      </c>
      <c r="AW219" s="74">
        <v>460024</v>
      </c>
      <c r="AX219" s="74">
        <f>AS219+AT219+AU219+AV219+AW219</f>
        <v>577832</v>
      </c>
      <c r="AY219" s="74">
        <v>32458</v>
      </c>
      <c r="AZ219" s="74">
        <v>0</v>
      </c>
      <c r="BA219" s="74">
        <v>45000</v>
      </c>
      <c r="BB219" s="74">
        <v>40350</v>
      </c>
      <c r="BC219" s="74">
        <v>439632</v>
      </c>
      <c r="BD219" s="74">
        <f>AY219+AZ219+BA219+BB219+BC219</f>
        <v>557440</v>
      </c>
      <c r="BE219" s="78">
        <f t="shared" si="224"/>
        <v>0</v>
      </c>
      <c r="BF219" s="29">
        <f t="shared" si="225"/>
        <v>0.53857625399855347</v>
      </c>
      <c r="BG219" s="29">
        <f t="shared" si="226"/>
        <v>4.5877087209944684E-2</v>
      </c>
      <c r="BH219" s="20"/>
      <c r="BI219" s="20"/>
      <c r="BJ219" s="5"/>
      <c r="BK219" s="5"/>
      <c r="BL219" s="5"/>
      <c r="BM219" s="5"/>
      <c r="BN219" s="5"/>
      <c r="BO219" s="5"/>
      <c r="BP219" s="5"/>
      <c r="BQ219" s="43"/>
      <c r="BR219" s="43"/>
      <c r="BS219" s="43"/>
      <c r="BT219" s="44"/>
      <c r="BU219" s="43"/>
      <c r="BV219" s="5"/>
      <c r="BW219" s="43"/>
      <c r="BX219" s="43"/>
      <c r="BY219" s="43"/>
      <c r="BZ219" s="44"/>
      <c r="CA219" s="43"/>
      <c r="CB219" s="5"/>
      <c r="CC219" s="45"/>
      <c r="CD219" s="45"/>
      <c r="CE219" s="45"/>
      <c r="CF219" s="46"/>
      <c r="CG219" s="45"/>
      <c r="CH219" s="5"/>
      <c r="CI219" s="44"/>
      <c r="CJ219" s="44"/>
      <c r="CK219" s="44"/>
      <c r="CL219" s="44"/>
      <c r="CM219" s="44"/>
      <c r="CN219" s="47"/>
      <c r="CO219" s="5"/>
      <c r="CP219" s="47"/>
      <c r="CQ219" s="47"/>
      <c r="CR219" s="47"/>
      <c r="CS219" s="47"/>
      <c r="CT219" s="47"/>
      <c r="CU219" s="47"/>
    </row>
    <row r="220" spans="1:99" ht="15" customHeight="1">
      <c r="A220" s="69"/>
      <c r="B220" s="70" t="s">
        <v>373</v>
      </c>
      <c r="C220" s="71" t="s">
        <v>252</v>
      </c>
      <c r="D220" s="70" t="s">
        <v>253</v>
      </c>
      <c r="E220" s="72">
        <v>42551</v>
      </c>
      <c r="F220" s="72"/>
      <c r="G220" s="73">
        <v>60024</v>
      </c>
      <c r="H220" s="73">
        <v>105472</v>
      </c>
      <c r="I220" s="73">
        <v>700388</v>
      </c>
      <c r="J220" s="73">
        <v>-176170</v>
      </c>
      <c r="K220" s="73">
        <v>-176170</v>
      </c>
      <c r="L220" s="73"/>
      <c r="M220" s="73"/>
      <c r="N220" s="73">
        <v>619516</v>
      </c>
      <c r="O220" s="73"/>
      <c r="P220" s="73">
        <f t="shared" si="222"/>
        <v>619516</v>
      </c>
      <c r="Q220" s="73">
        <v>576209</v>
      </c>
      <c r="R220" s="73">
        <v>43307</v>
      </c>
      <c r="S220" s="74"/>
      <c r="T220" s="74"/>
      <c r="U220" s="74"/>
      <c r="V220" s="74"/>
      <c r="W220" s="74"/>
      <c r="X220" s="74"/>
      <c r="Y220" s="74"/>
      <c r="Z220" s="74"/>
      <c r="AA220" s="74">
        <v>771086</v>
      </c>
      <c r="AB220" s="74">
        <v>771086</v>
      </c>
      <c r="AC220" s="74"/>
      <c r="AD220" s="74"/>
      <c r="AE220" s="74"/>
      <c r="AF220" s="74"/>
      <c r="AG220" s="74"/>
      <c r="AH220" s="74"/>
      <c r="AI220" s="74"/>
      <c r="AJ220" s="75"/>
      <c r="AK220" s="74"/>
      <c r="AL220" s="74"/>
      <c r="AM220" s="74"/>
      <c r="AN220" s="76"/>
      <c r="AO220" s="77"/>
      <c r="AP220" s="76"/>
      <c r="AQ220" s="74"/>
      <c r="AR220" s="74"/>
      <c r="AS220" s="74"/>
      <c r="AT220" s="74"/>
      <c r="AU220" s="74"/>
      <c r="AV220" s="74"/>
      <c r="AW220" s="74"/>
      <c r="AX220" s="74"/>
      <c r="AY220" s="74"/>
      <c r="AZ220" s="74"/>
      <c r="BA220" s="74"/>
      <c r="BB220" s="74"/>
      <c r="BC220" s="74"/>
      <c r="BD220" s="74"/>
      <c r="BE220" s="78">
        <f t="shared" si="224"/>
        <v>0</v>
      </c>
      <c r="BF220" s="20" t="e">
        <f t="shared" si="225"/>
        <v>#DIV/0!</v>
      </c>
      <c r="BG220" s="29">
        <f t="shared" si="226"/>
        <v>1.2446587335920298</v>
      </c>
      <c r="BH220" s="20"/>
      <c r="BI220" s="20"/>
      <c r="BJ220" s="5"/>
      <c r="BK220" s="5"/>
      <c r="BL220" s="5"/>
      <c r="BM220" s="5"/>
      <c r="BN220" s="5"/>
      <c r="BO220" s="5"/>
      <c r="BP220" s="5"/>
      <c r="BQ220" s="43"/>
      <c r="BR220" s="43"/>
      <c r="BS220" s="43"/>
      <c r="BT220" s="44"/>
      <c r="BU220" s="43"/>
      <c r="BV220" s="5"/>
      <c r="BW220" s="43"/>
      <c r="BX220" s="43"/>
      <c r="BY220" s="43"/>
      <c r="BZ220" s="44"/>
      <c r="CA220" s="43"/>
      <c r="CB220" s="5"/>
      <c r="CC220" s="45"/>
      <c r="CD220" s="45"/>
      <c r="CE220" s="45"/>
      <c r="CF220" s="46"/>
      <c r="CG220" s="45"/>
      <c r="CH220" s="5"/>
      <c r="CI220" s="44"/>
      <c r="CJ220" s="44"/>
      <c r="CK220" s="44"/>
      <c r="CL220" s="44"/>
      <c r="CM220" s="44"/>
      <c r="CN220" s="47"/>
      <c r="CO220" s="5"/>
      <c r="CP220" s="47"/>
      <c r="CQ220" s="47"/>
      <c r="CR220" s="47"/>
      <c r="CS220" s="47"/>
      <c r="CT220" s="47"/>
      <c r="CU220" s="47"/>
    </row>
    <row r="221" spans="1:99" ht="15" customHeight="1">
      <c r="A221" s="69"/>
      <c r="B221" s="70" t="s">
        <v>374</v>
      </c>
      <c r="C221" s="71" t="s">
        <v>252</v>
      </c>
      <c r="D221" s="70" t="s">
        <v>253</v>
      </c>
      <c r="E221" s="72">
        <v>42735</v>
      </c>
      <c r="F221" s="72"/>
      <c r="G221" s="73">
        <v>322039403</v>
      </c>
      <c r="H221" s="73">
        <v>160786295</v>
      </c>
      <c r="I221" s="73">
        <v>2354815940</v>
      </c>
      <c r="J221" s="73">
        <v>889759931</v>
      </c>
      <c r="K221" s="73">
        <v>41148468</v>
      </c>
      <c r="L221" s="73">
        <v>43566244</v>
      </c>
      <c r="M221" s="73">
        <v>63586457</v>
      </c>
      <c r="N221" s="73">
        <v>146236307</v>
      </c>
      <c r="O221" s="73">
        <v>0</v>
      </c>
      <c r="P221" s="73">
        <f t="shared" si="222"/>
        <v>253389008</v>
      </c>
      <c r="Q221" s="73">
        <v>196565390</v>
      </c>
      <c r="R221" s="73">
        <v>56823618</v>
      </c>
      <c r="S221" s="74">
        <v>55845307</v>
      </c>
      <c r="T221" s="74">
        <v>40346419</v>
      </c>
      <c r="U221" s="74">
        <v>161340596</v>
      </c>
      <c r="V221" s="74">
        <v>325041481</v>
      </c>
      <c r="W221" s="74">
        <v>56851</v>
      </c>
      <c r="X221" s="74">
        <v>131741697</v>
      </c>
      <c r="Y221" s="74">
        <v>51506099</v>
      </c>
      <c r="Z221" s="74">
        <v>76173841</v>
      </c>
      <c r="AA221" s="74">
        <v>1059528389</v>
      </c>
      <c r="AB221" s="74">
        <f>SUM(X221:AA221)</f>
        <v>1318950026</v>
      </c>
      <c r="AC221" s="74">
        <v>76173841</v>
      </c>
      <c r="AD221" s="74">
        <v>0</v>
      </c>
      <c r="AE221" s="74">
        <f>AC221+AD221</f>
        <v>76173841</v>
      </c>
      <c r="AF221" s="74">
        <v>0</v>
      </c>
      <c r="AG221" s="74">
        <v>15855000</v>
      </c>
      <c r="AH221" s="74">
        <v>15642795</v>
      </c>
      <c r="AI221" s="74">
        <v>5000000</v>
      </c>
      <c r="AJ221" s="75">
        <v>41640</v>
      </c>
      <c r="AK221" s="74">
        <f>26*1000000</f>
        <v>26000000</v>
      </c>
      <c r="AL221" s="74">
        <v>203000000</v>
      </c>
      <c r="AM221" s="74">
        <v>177000000</v>
      </c>
      <c r="AN221" s="76">
        <v>0.13020000000000001</v>
      </c>
      <c r="AO221" s="76">
        <v>0.05</v>
      </c>
      <c r="AP221" s="76"/>
      <c r="AQ221" s="74">
        <v>6361424</v>
      </c>
      <c r="AR221" s="74">
        <v>6361424</v>
      </c>
      <c r="AS221" s="74">
        <v>3047848</v>
      </c>
      <c r="AT221" s="74">
        <v>0</v>
      </c>
      <c r="AU221" s="74">
        <v>0</v>
      </c>
      <c r="AV221" s="74">
        <v>0</v>
      </c>
      <c r="AW221" s="74">
        <v>14498170</v>
      </c>
      <c r="AX221" s="74">
        <f>AS221+AT221+AU221+AV221+AW221</f>
        <v>17546018</v>
      </c>
      <c r="AY221" s="74">
        <v>3231131</v>
      </c>
      <c r="AZ221" s="74">
        <v>129078070</v>
      </c>
      <c r="BA221" s="74">
        <v>50808229</v>
      </c>
      <c r="BB221" s="74">
        <v>0</v>
      </c>
      <c r="BC221" s="74">
        <v>-62028134</v>
      </c>
      <c r="BD221" s="74">
        <f>AY221+AZ221+BA221+BB221+BC221</f>
        <v>121089296</v>
      </c>
      <c r="BE221" s="78">
        <f t="shared" si="224"/>
        <v>2.5105366843695128E-2</v>
      </c>
      <c r="BF221" s="29">
        <f t="shared" si="225"/>
        <v>0.43488414671943998</v>
      </c>
      <c r="BG221" s="29">
        <f t="shared" si="226"/>
        <v>5.0019688580966388</v>
      </c>
      <c r="BH221" s="20"/>
      <c r="BI221" s="20"/>
      <c r="BJ221" s="5"/>
      <c r="BK221" s="5"/>
      <c r="BL221" s="5"/>
      <c r="BM221" s="5"/>
      <c r="BN221" s="5"/>
      <c r="BO221" s="5"/>
      <c r="BP221" s="5"/>
      <c r="BQ221" s="43"/>
      <c r="BR221" s="43"/>
      <c r="BS221" s="43"/>
      <c r="BT221" s="44"/>
      <c r="BU221" s="43"/>
      <c r="BV221" s="5"/>
      <c r="BW221" s="43"/>
      <c r="BX221" s="43"/>
      <c r="BY221" s="43"/>
      <c r="BZ221" s="44"/>
      <c r="CA221" s="43"/>
      <c r="CB221" s="5"/>
      <c r="CC221" s="45"/>
      <c r="CD221" s="45"/>
      <c r="CE221" s="45"/>
      <c r="CF221" s="46"/>
      <c r="CG221" s="45"/>
      <c r="CH221" s="5"/>
      <c r="CI221" s="44"/>
      <c r="CJ221" s="44"/>
      <c r="CK221" s="44"/>
      <c r="CL221" s="44"/>
      <c r="CM221" s="44"/>
      <c r="CN221" s="47"/>
      <c r="CO221" s="5"/>
      <c r="CP221" s="47"/>
      <c r="CQ221" s="47"/>
      <c r="CR221" s="47"/>
      <c r="CS221" s="47"/>
      <c r="CT221" s="47"/>
      <c r="CU221" s="47"/>
    </row>
    <row r="222" spans="1:99" ht="15" customHeight="1">
      <c r="A222" s="69"/>
      <c r="B222" s="70" t="s">
        <v>375</v>
      </c>
      <c r="C222" s="71" t="s">
        <v>252</v>
      </c>
      <c r="D222" s="70" t="s">
        <v>253</v>
      </c>
      <c r="E222" s="72">
        <v>42551</v>
      </c>
      <c r="F222" s="72"/>
      <c r="G222" s="73">
        <v>31249600</v>
      </c>
      <c r="H222" s="73">
        <v>7878883</v>
      </c>
      <c r="I222" s="73">
        <v>260574074</v>
      </c>
      <c r="J222" s="73">
        <v>175762497</v>
      </c>
      <c r="K222" s="73">
        <v>30848576</v>
      </c>
      <c r="L222" s="73">
        <v>0</v>
      </c>
      <c r="M222" s="73">
        <v>0</v>
      </c>
      <c r="N222" s="73">
        <v>2721426</v>
      </c>
      <c r="O222" s="73">
        <f>7845290+4074780</f>
        <v>11920070</v>
      </c>
      <c r="P222" s="73">
        <f t="shared" si="222"/>
        <v>14641496</v>
      </c>
      <c r="Q222" s="73">
        <f>4627932+2313534</f>
        <v>6941466</v>
      </c>
      <c r="R222" s="73">
        <v>7700030</v>
      </c>
      <c r="S222" s="74"/>
      <c r="T222" s="74"/>
      <c r="U222" s="74"/>
      <c r="V222" s="74"/>
      <c r="W222" s="74"/>
      <c r="X222" s="74"/>
      <c r="Y222" s="74"/>
      <c r="Z222" s="74"/>
      <c r="AA222" s="74">
        <v>77014526</v>
      </c>
      <c r="AB222" s="74">
        <v>77014526</v>
      </c>
      <c r="AC222" s="74"/>
      <c r="AD222" s="74"/>
      <c r="AE222" s="74"/>
      <c r="AF222" s="74"/>
      <c r="AG222" s="74"/>
      <c r="AH222" s="74"/>
      <c r="AI222" s="74"/>
      <c r="AJ222" s="75"/>
      <c r="AK222" s="74"/>
      <c r="AL222" s="74"/>
      <c r="AM222" s="74"/>
      <c r="AN222" s="76"/>
      <c r="AO222" s="77"/>
      <c r="AP222" s="76"/>
      <c r="AQ222" s="74"/>
      <c r="AR222" s="74"/>
      <c r="AS222" s="74"/>
      <c r="AT222" s="74"/>
      <c r="AU222" s="74"/>
      <c r="AV222" s="74"/>
      <c r="AW222" s="74"/>
      <c r="AX222" s="74"/>
      <c r="AY222" s="74"/>
      <c r="AZ222" s="74"/>
      <c r="BA222" s="74"/>
      <c r="BB222" s="74"/>
      <c r="BC222" s="74"/>
      <c r="BD222" s="74"/>
      <c r="BE222" s="78">
        <f t="shared" si="224"/>
        <v>0</v>
      </c>
      <c r="BF222" s="20" t="e">
        <f t="shared" si="225"/>
        <v>#DIV/0!</v>
      </c>
      <c r="BG222" s="29">
        <f t="shared" si="226"/>
        <v>5.2600175555831177</v>
      </c>
      <c r="BH222" s="20"/>
      <c r="BI222" s="20"/>
      <c r="BJ222" s="5"/>
      <c r="BK222" s="5"/>
      <c r="BL222" s="5"/>
      <c r="BM222" s="5"/>
      <c r="BN222" s="5"/>
      <c r="BO222" s="5"/>
      <c r="BP222" s="5"/>
      <c r="BQ222" s="43"/>
      <c r="BR222" s="43"/>
      <c r="BS222" s="43"/>
      <c r="BT222" s="44"/>
      <c r="BU222" s="43"/>
      <c r="BV222" s="5"/>
      <c r="BW222" s="43"/>
      <c r="BX222" s="43"/>
      <c r="BY222" s="43"/>
      <c r="BZ222" s="44"/>
      <c r="CA222" s="43"/>
      <c r="CB222" s="5"/>
      <c r="CC222" s="45"/>
      <c r="CD222" s="45"/>
      <c r="CE222" s="45"/>
      <c r="CF222" s="46"/>
      <c r="CG222" s="45"/>
      <c r="CH222" s="5"/>
      <c r="CI222" s="44"/>
      <c r="CJ222" s="44"/>
      <c r="CK222" s="44"/>
      <c r="CL222" s="44"/>
      <c r="CM222" s="44"/>
      <c r="CN222" s="47"/>
      <c r="CO222" s="5"/>
      <c r="CP222" s="47"/>
      <c r="CQ222" s="47"/>
      <c r="CR222" s="47"/>
      <c r="CS222" s="47"/>
      <c r="CT222" s="47"/>
      <c r="CU222" s="47"/>
    </row>
    <row r="223" spans="1:99" ht="15" customHeight="1">
      <c r="A223" s="69"/>
      <c r="B223" s="70" t="s">
        <v>376</v>
      </c>
      <c r="C223" s="71" t="s">
        <v>252</v>
      </c>
      <c r="D223" s="70" t="s">
        <v>253</v>
      </c>
      <c r="E223" s="72">
        <v>42551</v>
      </c>
      <c r="F223" s="72"/>
      <c r="G223" s="73">
        <v>3748466</v>
      </c>
      <c r="H223" s="73">
        <v>2228540</v>
      </c>
      <c r="I223" s="73">
        <v>4150030</v>
      </c>
      <c r="J223" s="73">
        <v>-284694</v>
      </c>
      <c r="K223" s="73">
        <v>-686258</v>
      </c>
      <c r="L223" s="73">
        <v>0</v>
      </c>
      <c r="M223" s="73">
        <v>0</v>
      </c>
      <c r="N223" s="73">
        <f>964553+825</f>
        <v>965378</v>
      </c>
      <c r="O223" s="73">
        <f>6962433+191827</f>
        <v>7154260</v>
      </c>
      <c r="P223" s="73">
        <f t="shared" si="222"/>
        <v>8119638</v>
      </c>
      <c r="Q223" s="73">
        <v>8058565</v>
      </c>
      <c r="R223" s="73">
        <v>1923217</v>
      </c>
      <c r="S223" s="74"/>
      <c r="T223" s="74"/>
      <c r="U223" s="74"/>
      <c r="V223" s="74"/>
      <c r="W223" s="74"/>
      <c r="X223" s="74"/>
      <c r="Y223" s="74">
        <v>2207301</v>
      </c>
      <c r="Z223" s="74"/>
      <c r="AA223" s="74">
        <v>14753</v>
      </c>
      <c r="AB223" s="74">
        <f>SUM(X223:AA223)</f>
        <v>2222054</v>
      </c>
      <c r="AC223" s="74"/>
      <c r="AD223" s="74"/>
      <c r="AE223" s="74"/>
      <c r="AF223" s="74"/>
      <c r="AG223" s="74"/>
      <c r="AH223" s="74"/>
      <c r="AI223" s="74"/>
      <c r="AJ223" s="75"/>
      <c r="AK223" s="74"/>
      <c r="AL223" s="74"/>
      <c r="AM223" s="74"/>
      <c r="AN223" s="76"/>
      <c r="AO223" s="77"/>
      <c r="AP223" s="76"/>
      <c r="AQ223" s="74">
        <v>0</v>
      </c>
      <c r="AR223" s="74">
        <v>0</v>
      </c>
      <c r="AS223" s="74"/>
      <c r="AT223" s="74"/>
      <c r="AU223" s="74"/>
      <c r="AV223" s="74"/>
      <c r="AW223" s="74"/>
      <c r="AX223" s="74"/>
      <c r="AY223" s="74"/>
      <c r="AZ223" s="74"/>
      <c r="BA223" s="74"/>
      <c r="BB223" s="74"/>
      <c r="BC223" s="74"/>
      <c r="BD223" s="74"/>
      <c r="BE223" s="78">
        <f t="shared" si="224"/>
        <v>0</v>
      </c>
      <c r="BF223" s="20" t="e">
        <f t="shared" si="225"/>
        <v>#DIV/0!</v>
      </c>
      <c r="BG223" s="29">
        <f t="shared" si="226"/>
        <v>1.8169529232707172E-3</v>
      </c>
      <c r="BH223" s="20"/>
      <c r="BI223" s="20"/>
      <c r="BJ223" s="5"/>
      <c r="BK223" s="5"/>
      <c r="BL223" s="5"/>
      <c r="BM223" s="5"/>
      <c r="BN223" s="5"/>
      <c r="BO223" s="5"/>
      <c r="BP223" s="5"/>
      <c r="BQ223" s="43"/>
      <c r="BR223" s="43"/>
      <c r="BS223" s="43"/>
      <c r="BT223" s="44"/>
      <c r="BU223" s="43"/>
      <c r="BV223" s="5"/>
      <c r="BW223" s="43"/>
      <c r="BX223" s="43"/>
      <c r="BY223" s="43"/>
      <c r="BZ223" s="44"/>
      <c r="CA223" s="43"/>
      <c r="CB223" s="5"/>
      <c r="CC223" s="45"/>
      <c r="CD223" s="45"/>
      <c r="CE223" s="45"/>
      <c r="CF223" s="46"/>
      <c r="CG223" s="45"/>
      <c r="CH223" s="5"/>
      <c r="CI223" s="44"/>
      <c r="CJ223" s="44"/>
      <c r="CK223" s="44"/>
      <c r="CL223" s="44"/>
      <c r="CM223" s="44"/>
      <c r="CN223" s="47"/>
      <c r="CO223" s="5"/>
      <c r="CP223" s="47"/>
      <c r="CQ223" s="47"/>
      <c r="CR223" s="47"/>
      <c r="CS223" s="47"/>
      <c r="CT223" s="47"/>
      <c r="CU223" s="47"/>
    </row>
    <row r="224" spans="1:99" ht="15" customHeight="1">
      <c r="A224" s="69"/>
      <c r="B224" s="70" t="s">
        <v>377</v>
      </c>
      <c r="C224" s="71" t="s">
        <v>252</v>
      </c>
      <c r="D224" s="70" t="s">
        <v>253</v>
      </c>
      <c r="E224" s="72">
        <v>42551</v>
      </c>
      <c r="F224" s="72"/>
      <c r="G224" s="73">
        <v>1371961</v>
      </c>
      <c r="H224" s="73">
        <v>950340</v>
      </c>
      <c r="I224" s="73">
        <v>3644947</v>
      </c>
      <c r="J224" s="73">
        <v>2694607</v>
      </c>
      <c r="K224" s="73">
        <v>486861</v>
      </c>
      <c r="L224" s="73">
        <v>953</v>
      </c>
      <c r="M224" s="73">
        <v>1237154</v>
      </c>
      <c r="N224" s="73"/>
      <c r="O224" s="73">
        <v>6779348</v>
      </c>
      <c r="P224" s="73">
        <f t="shared" si="222"/>
        <v>8017455</v>
      </c>
      <c r="Q224" s="73">
        <v>7790673</v>
      </c>
      <c r="R224" s="73">
        <v>226782</v>
      </c>
      <c r="S224" s="74"/>
      <c r="T224" s="74"/>
      <c r="U224" s="74"/>
      <c r="V224" s="74"/>
      <c r="W224" s="74"/>
      <c r="X224" s="74"/>
      <c r="Y224" s="74"/>
      <c r="Z224" s="74"/>
      <c r="AA224" s="74"/>
      <c r="AB224" s="74"/>
      <c r="AC224" s="74"/>
      <c r="AD224" s="74"/>
      <c r="AE224" s="74"/>
      <c r="AF224" s="74"/>
      <c r="AG224" s="74"/>
      <c r="AH224" s="74"/>
      <c r="AI224" s="74"/>
      <c r="AJ224" s="75"/>
      <c r="AK224" s="74"/>
      <c r="AL224" s="74"/>
      <c r="AM224" s="74"/>
      <c r="AN224" s="76"/>
      <c r="AO224" s="77"/>
      <c r="AP224" s="76"/>
      <c r="AQ224" s="74"/>
      <c r="AR224" s="74"/>
      <c r="AS224" s="74"/>
      <c r="AT224" s="74"/>
      <c r="AU224" s="74"/>
      <c r="AV224" s="74"/>
      <c r="AW224" s="74"/>
      <c r="AX224" s="74"/>
      <c r="AY224" s="74"/>
      <c r="AZ224" s="74"/>
      <c r="BA224" s="74"/>
      <c r="BB224" s="74"/>
      <c r="BC224" s="74"/>
      <c r="BD224" s="74"/>
      <c r="BE224" s="78">
        <f t="shared" si="224"/>
        <v>0</v>
      </c>
      <c r="BF224" s="20" t="e">
        <f t="shared" si="225"/>
        <v>#DIV/0!</v>
      </c>
      <c r="BG224" s="29">
        <f t="shared" si="226"/>
        <v>0</v>
      </c>
      <c r="BH224" s="20"/>
      <c r="BI224" s="20"/>
      <c r="BJ224" s="5"/>
      <c r="BK224" s="5"/>
      <c r="BL224" s="5"/>
      <c r="BM224" s="5"/>
      <c r="BN224" s="5"/>
      <c r="BO224" s="5"/>
      <c r="BP224" s="5"/>
      <c r="BQ224" s="43"/>
      <c r="BR224" s="43"/>
      <c r="BS224" s="43"/>
      <c r="BT224" s="44"/>
      <c r="BU224" s="43"/>
      <c r="BV224" s="5"/>
      <c r="BW224" s="43"/>
      <c r="BX224" s="43"/>
      <c r="BY224" s="43"/>
      <c r="BZ224" s="44"/>
      <c r="CA224" s="43"/>
      <c r="CB224" s="5"/>
      <c r="CC224" s="45"/>
      <c r="CD224" s="45"/>
      <c r="CE224" s="45"/>
      <c r="CF224" s="46"/>
      <c r="CG224" s="45"/>
      <c r="CH224" s="5"/>
      <c r="CI224" s="44"/>
      <c r="CJ224" s="44"/>
      <c r="CK224" s="44"/>
      <c r="CL224" s="44"/>
      <c r="CM224" s="44"/>
      <c r="CN224" s="47"/>
      <c r="CO224" s="5"/>
      <c r="CP224" s="47"/>
      <c r="CQ224" s="47"/>
      <c r="CR224" s="47"/>
      <c r="CS224" s="47"/>
      <c r="CT224" s="47"/>
      <c r="CU224" s="47"/>
    </row>
    <row r="225" spans="1:99" ht="15" customHeight="1">
      <c r="A225" s="69"/>
      <c r="B225" s="70" t="s">
        <v>378</v>
      </c>
      <c r="C225" s="71" t="s">
        <v>252</v>
      </c>
      <c r="D225" s="70" t="s">
        <v>253</v>
      </c>
      <c r="E225" s="72">
        <v>42551</v>
      </c>
      <c r="F225" s="72"/>
      <c r="G225" s="73">
        <v>162631</v>
      </c>
      <c r="H225" s="73">
        <v>41285</v>
      </c>
      <c r="I225" s="73">
        <v>261106</v>
      </c>
      <c r="J225" s="73">
        <v>219821</v>
      </c>
      <c r="K225" s="73">
        <v>121346</v>
      </c>
      <c r="L225" s="73">
        <v>137</v>
      </c>
      <c r="M225" s="73"/>
      <c r="N225" s="73">
        <v>147812</v>
      </c>
      <c r="O225" s="73">
        <v>1044513</v>
      </c>
      <c r="P225" s="73">
        <f t="shared" si="222"/>
        <v>1192462</v>
      </c>
      <c r="Q225" s="73">
        <v>122104</v>
      </c>
      <c r="R225" s="73">
        <v>29642</v>
      </c>
      <c r="S225" s="74">
        <v>1192462</v>
      </c>
      <c r="T225" s="74">
        <v>1219046</v>
      </c>
      <c r="U225" s="74"/>
      <c r="V225" s="74"/>
      <c r="W225" s="74"/>
      <c r="X225" s="74"/>
      <c r="Y225" s="74"/>
      <c r="Z225" s="74"/>
      <c r="AA225" s="74"/>
      <c r="AB225" s="74"/>
      <c r="AC225" s="74"/>
      <c r="AD225" s="74"/>
      <c r="AE225" s="74"/>
      <c r="AF225" s="74"/>
      <c r="AG225" s="74"/>
      <c r="AH225" s="74"/>
      <c r="AI225" s="74"/>
      <c r="AJ225" s="75"/>
      <c r="AK225" s="74"/>
      <c r="AL225" s="74"/>
      <c r="AM225" s="74"/>
      <c r="AN225" s="76"/>
      <c r="AO225" s="77"/>
      <c r="AP225" s="76"/>
      <c r="AQ225" s="74"/>
      <c r="AR225" s="74"/>
      <c r="AS225" s="74"/>
      <c r="AT225" s="74"/>
      <c r="AU225" s="74"/>
      <c r="AV225" s="74"/>
      <c r="AW225" s="74"/>
      <c r="AX225" s="74"/>
      <c r="AY225" s="74"/>
      <c r="AZ225" s="74"/>
      <c r="BA225" s="74"/>
      <c r="BB225" s="74"/>
      <c r="BC225" s="74"/>
      <c r="BD225" s="74"/>
      <c r="BE225" s="78">
        <f t="shared" si="224"/>
        <v>0</v>
      </c>
      <c r="BF225" s="29">
        <f t="shared" si="225"/>
        <v>0</v>
      </c>
      <c r="BG225" s="29">
        <f t="shared" si="226"/>
        <v>0</v>
      </c>
      <c r="BH225" s="20"/>
      <c r="BI225" s="20"/>
      <c r="BJ225" s="5"/>
      <c r="BK225" s="5"/>
      <c r="BL225" s="5"/>
      <c r="BM225" s="5"/>
      <c r="BN225" s="5"/>
      <c r="BO225" s="5"/>
      <c r="BP225" s="5"/>
      <c r="BQ225" s="43"/>
      <c r="BR225" s="43"/>
      <c r="BS225" s="43"/>
      <c r="BT225" s="44"/>
      <c r="BU225" s="43"/>
      <c r="BV225" s="5"/>
      <c r="BW225" s="43"/>
      <c r="BX225" s="43"/>
      <c r="BY225" s="43"/>
      <c r="BZ225" s="44"/>
      <c r="CA225" s="43"/>
      <c r="CB225" s="5"/>
      <c r="CC225" s="45"/>
      <c r="CD225" s="45"/>
      <c r="CE225" s="45"/>
      <c r="CF225" s="46"/>
      <c r="CG225" s="45"/>
      <c r="CH225" s="5"/>
      <c r="CI225" s="44"/>
      <c r="CJ225" s="44"/>
      <c r="CK225" s="44"/>
      <c r="CL225" s="44"/>
      <c r="CM225" s="44"/>
      <c r="CN225" s="47"/>
      <c r="CO225" s="5"/>
      <c r="CP225" s="47"/>
      <c r="CQ225" s="47"/>
      <c r="CR225" s="47"/>
      <c r="CS225" s="47"/>
      <c r="CT225" s="47"/>
      <c r="CU225" s="47"/>
    </row>
    <row r="226" spans="1:99" ht="15" customHeight="1">
      <c r="A226" s="69"/>
      <c r="B226" s="70" t="s">
        <v>379</v>
      </c>
      <c r="C226" s="71" t="s">
        <v>252</v>
      </c>
      <c r="D226" s="70" t="s">
        <v>253</v>
      </c>
      <c r="E226" s="72">
        <v>42551</v>
      </c>
      <c r="F226" s="72"/>
      <c r="G226" s="73">
        <v>1668022</v>
      </c>
      <c r="H226" s="73">
        <v>119790</v>
      </c>
      <c r="I226" s="73">
        <v>12886115</v>
      </c>
      <c r="J226" s="73">
        <v>12432415</v>
      </c>
      <c r="K226" s="73">
        <v>1214322</v>
      </c>
      <c r="L226" s="73">
        <v>2982261</v>
      </c>
      <c r="M226" s="73">
        <v>0</v>
      </c>
      <c r="N226" s="73">
        <v>6770</v>
      </c>
      <c r="O226" s="73">
        <v>465766</v>
      </c>
      <c r="P226" s="73">
        <f t="shared" si="222"/>
        <v>3454797</v>
      </c>
      <c r="Q226" s="73">
        <v>3158093</v>
      </c>
      <c r="R226" s="73">
        <v>296704</v>
      </c>
      <c r="S226" s="74">
        <v>3477197</v>
      </c>
      <c r="T226" s="74">
        <v>2296447</v>
      </c>
      <c r="U226" s="74">
        <v>3477197</v>
      </c>
      <c r="V226" s="74">
        <v>3263068</v>
      </c>
      <c r="W226" s="74">
        <v>72422</v>
      </c>
      <c r="X226" s="74">
        <v>0</v>
      </c>
      <c r="Y226" s="74">
        <v>353951</v>
      </c>
      <c r="Z226" s="74"/>
      <c r="AA226" s="74">
        <v>93561</v>
      </c>
      <c r="AB226" s="74">
        <f>SUM(X226:AA226)</f>
        <v>447512</v>
      </c>
      <c r="AC226" s="74"/>
      <c r="AD226" s="74"/>
      <c r="AE226" s="74"/>
      <c r="AF226" s="74"/>
      <c r="AG226" s="74"/>
      <c r="AH226" s="74"/>
      <c r="AI226" s="74"/>
      <c r="AJ226" s="75"/>
      <c r="AK226" s="74"/>
      <c r="AL226" s="74"/>
      <c r="AM226" s="74"/>
      <c r="AN226" s="76"/>
      <c r="AO226" s="77"/>
      <c r="AP226" s="76"/>
      <c r="AQ226" s="74">
        <v>115016</v>
      </c>
      <c r="AR226" s="74">
        <v>90500</v>
      </c>
      <c r="AS226" s="74">
        <v>0</v>
      </c>
      <c r="AT226" s="74">
        <v>0</v>
      </c>
      <c r="AU226" s="74">
        <v>0</v>
      </c>
      <c r="AV226" s="74">
        <v>0</v>
      </c>
      <c r="AW226" s="74">
        <v>747691</v>
      </c>
      <c r="AX226" s="74">
        <f>AS226+AT226+AU226+AV226+AW226</f>
        <v>747691</v>
      </c>
      <c r="AY226" s="74">
        <v>0</v>
      </c>
      <c r="AZ226" s="74">
        <v>0</v>
      </c>
      <c r="BA226" s="74">
        <v>765866</v>
      </c>
      <c r="BB226" s="74">
        <v>0</v>
      </c>
      <c r="BC226" s="74">
        <v>747691</v>
      </c>
      <c r="BD226" s="74">
        <f>AY226+AZ226+BA226+BB226+BC226</f>
        <v>1513557</v>
      </c>
      <c r="BE226" s="78">
        <f t="shared" si="224"/>
        <v>3.3291681103115464E-2</v>
      </c>
      <c r="BF226" s="29">
        <f t="shared" si="225"/>
        <v>0.32558600307344343</v>
      </c>
      <c r="BG226" s="29">
        <f t="shared" si="226"/>
        <v>2.7081475409409004E-2</v>
      </c>
      <c r="BH226" s="20"/>
      <c r="BI226" s="20"/>
      <c r="BJ226" s="5"/>
      <c r="BK226" s="5"/>
      <c r="BL226" s="5"/>
      <c r="BM226" s="5"/>
      <c r="BN226" s="5"/>
      <c r="BO226" s="5"/>
      <c r="BP226" s="5"/>
      <c r="BQ226" s="43"/>
      <c r="BR226" s="43"/>
      <c r="BS226" s="43"/>
      <c r="BT226" s="44"/>
      <c r="BU226" s="43"/>
      <c r="BV226" s="5"/>
      <c r="BW226" s="43"/>
      <c r="BX226" s="43"/>
      <c r="BY226" s="43"/>
      <c r="BZ226" s="44"/>
      <c r="CA226" s="43"/>
      <c r="CB226" s="5"/>
      <c r="CC226" s="45"/>
      <c r="CD226" s="45"/>
      <c r="CE226" s="45"/>
      <c r="CF226" s="46"/>
      <c r="CG226" s="45"/>
      <c r="CH226" s="5"/>
      <c r="CI226" s="44"/>
      <c r="CJ226" s="44"/>
      <c r="CK226" s="44"/>
      <c r="CL226" s="44"/>
      <c r="CM226" s="44"/>
      <c r="CN226" s="47"/>
      <c r="CO226" s="5"/>
      <c r="CP226" s="47"/>
      <c r="CQ226" s="47"/>
      <c r="CR226" s="47"/>
      <c r="CS226" s="47"/>
      <c r="CT226" s="47"/>
      <c r="CU226" s="47"/>
    </row>
    <row r="227" spans="1:99" ht="15" customHeight="1">
      <c r="A227" s="69"/>
      <c r="B227" s="70" t="s">
        <v>380</v>
      </c>
      <c r="C227" s="71" t="s">
        <v>252</v>
      </c>
      <c r="D227" s="70" t="s">
        <v>253</v>
      </c>
      <c r="E227" s="72">
        <v>42551</v>
      </c>
      <c r="F227" s="72"/>
      <c r="G227" s="73">
        <v>897623</v>
      </c>
      <c r="H227" s="73">
        <v>210031</v>
      </c>
      <c r="I227" s="73">
        <v>3964344</v>
      </c>
      <c r="J227" s="73">
        <v>2767618</v>
      </c>
      <c r="K227" s="73">
        <v>173121</v>
      </c>
      <c r="L227" s="73">
        <v>1698108</v>
      </c>
      <c r="M227" s="73">
        <v>0</v>
      </c>
      <c r="N227" s="73">
        <v>287926</v>
      </c>
      <c r="O227" s="73">
        <v>0</v>
      </c>
      <c r="P227" s="73">
        <f t="shared" si="222"/>
        <v>1986034</v>
      </c>
      <c r="Q227" s="73">
        <v>1771375</v>
      </c>
      <c r="R227" s="73">
        <v>214659</v>
      </c>
      <c r="S227" s="74">
        <v>1761482</v>
      </c>
      <c r="T227" s="74">
        <v>1449465</v>
      </c>
      <c r="U227" s="74">
        <v>1986034</v>
      </c>
      <c r="V227" s="74">
        <v>1992559</v>
      </c>
      <c r="W227" s="74">
        <v>53777</v>
      </c>
      <c r="X227" s="74">
        <v>84921</v>
      </c>
      <c r="Y227" s="74">
        <v>0</v>
      </c>
      <c r="Z227" s="74">
        <v>0</v>
      </c>
      <c r="AA227" s="74">
        <v>901774</v>
      </c>
      <c r="AB227" s="74">
        <f>SUM(X227:AA227)</f>
        <v>986695</v>
      </c>
      <c r="AC227" s="74"/>
      <c r="AD227" s="74"/>
      <c r="AE227" s="74"/>
      <c r="AF227" s="74"/>
      <c r="AG227" s="74"/>
      <c r="AH227" s="74"/>
      <c r="AI227" s="74"/>
      <c r="AJ227" s="75"/>
      <c r="AK227" s="79"/>
      <c r="AL227" s="79"/>
      <c r="AM227" s="79"/>
      <c r="AN227" s="79"/>
      <c r="AO227" s="79"/>
      <c r="AP227" s="79"/>
      <c r="AQ227" s="74"/>
      <c r="AR227" s="74"/>
      <c r="AS227" s="74">
        <v>0</v>
      </c>
      <c r="AT227" s="74">
        <v>45630</v>
      </c>
      <c r="AU227" s="74">
        <v>0</v>
      </c>
      <c r="AV227" s="74">
        <v>0</v>
      </c>
      <c r="AW227" s="74">
        <v>186918</v>
      </c>
      <c r="AX227" s="74">
        <f>AS227+AT227+AU227+AV227+AW227</f>
        <v>232548</v>
      </c>
      <c r="AY227" s="74">
        <v>0</v>
      </c>
      <c r="AZ227" s="74">
        <v>350791</v>
      </c>
      <c r="BA227" s="74">
        <v>0</v>
      </c>
      <c r="BB227" s="74">
        <v>163680</v>
      </c>
      <c r="BC227" s="74">
        <v>186918</v>
      </c>
      <c r="BD227" s="74">
        <f>AY227+AZ227+BA227+BB227+BC227</f>
        <v>701389</v>
      </c>
      <c r="BE227" s="78">
        <f t="shared" si="224"/>
        <v>0</v>
      </c>
      <c r="BF227" s="29">
        <f t="shared" si="225"/>
        <v>0.16043712680195796</v>
      </c>
      <c r="BG227" s="29">
        <f t="shared" si="226"/>
        <v>0.49681677151549269</v>
      </c>
      <c r="BH227" s="20"/>
      <c r="BI227" s="20"/>
      <c r="BJ227" s="5"/>
      <c r="BK227" s="5"/>
      <c r="BL227" s="5"/>
      <c r="BM227" s="5"/>
      <c r="BN227" s="5"/>
      <c r="BO227" s="5"/>
      <c r="BP227" s="5"/>
      <c r="BQ227" s="43"/>
      <c r="BR227" s="43"/>
      <c r="BS227" s="43"/>
      <c r="BT227" s="44"/>
      <c r="BU227" s="43"/>
      <c r="BV227" s="5"/>
      <c r="BW227" s="43"/>
      <c r="BX227" s="43"/>
      <c r="BY227" s="43"/>
      <c r="BZ227" s="44"/>
      <c r="CA227" s="43"/>
      <c r="CB227" s="5"/>
      <c r="CC227" s="45"/>
      <c r="CD227" s="45"/>
      <c r="CE227" s="45"/>
      <c r="CF227" s="46"/>
      <c r="CG227" s="45"/>
      <c r="CH227" s="5"/>
      <c r="CI227" s="44"/>
      <c r="CJ227" s="44"/>
      <c r="CK227" s="44"/>
      <c r="CL227" s="44"/>
      <c r="CM227" s="44"/>
      <c r="CN227" s="47"/>
      <c r="CO227" s="5"/>
      <c r="CP227" s="47"/>
      <c r="CQ227" s="47"/>
      <c r="CR227" s="47"/>
      <c r="CS227" s="47"/>
      <c r="CT227" s="47"/>
      <c r="CU227" s="47"/>
    </row>
    <row r="228" spans="1:99" ht="15" customHeight="1">
      <c r="A228" s="69"/>
      <c r="B228" s="70" t="s">
        <v>381</v>
      </c>
      <c r="C228" s="71" t="s">
        <v>252</v>
      </c>
      <c r="D228" s="70" t="s">
        <v>253</v>
      </c>
      <c r="E228" s="72">
        <v>42551</v>
      </c>
      <c r="F228" s="72"/>
      <c r="G228" s="73">
        <f>1447419+419120</f>
        <v>1866539</v>
      </c>
      <c r="H228" s="73">
        <f>180771+60311</f>
        <v>241082</v>
      </c>
      <c r="I228" s="73">
        <v>6772002</v>
      </c>
      <c r="J228" s="73">
        <f>3061228+2583072</f>
        <v>5644300</v>
      </c>
      <c r="K228" s="73">
        <f>561730+358809</f>
        <v>920539</v>
      </c>
      <c r="L228" s="73">
        <v>1846991</v>
      </c>
      <c r="M228" s="73">
        <v>0</v>
      </c>
      <c r="N228" s="73">
        <v>293664</v>
      </c>
      <c r="O228" s="73">
        <v>57341</v>
      </c>
      <c r="P228" s="73">
        <f>O228+N228+M228+L228</f>
        <v>2197996</v>
      </c>
      <c r="Q228" s="73">
        <v>2333249</v>
      </c>
      <c r="R228" s="73">
        <v>-135253</v>
      </c>
      <c r="S228" s="74">
        <v>1895109</v>
      </c>
      <c r="T228" s="74">
        <v>1828589</v>
      </c>
      <c r="U228" s="74">
        <v>1902921</v>
      </c>
      <c r="V228" s="74">
        <v>2063665</v>
      </c>
      <c r="W228" s="74">
        <v>-53480</v>
      </c>
      <c r="X228" s="74"/>
      <c r="Y228" s="74"/>
      <c r="Z228" s="74"/>
      <c r="AA228" s="74"/>
      <c r="AB228" s="74"/>
      <c r="AC228" s="74"/>
      <c r="AD228" s="74"/>
      <c r="AE228" s="74"/>
      <c r="AF228" s="74"/>
      <c r="AG228" s="74"/>
      <c r="AH228" s="74"/>
      <c r="AI228" s="74"/>
      <c r="AJ228" s="75"/>
      <c r="AK228" s="77"/>
      <c r="AL228" s="77"/>
      <c r="AM228" s="77"/>
      <c r="AN228" s="77"/>
      <c r="AO228" s="77"/>
      <c r="AP228" s="77"/>
      <c r="AQ228" s="74"/>
      <c r="AR228" s="74"/>
      <c r="AS228" s="74">
        <v>3623</v>
      </c>
      <c r="AT228" s="74">
        <v>0</v>
      </c>
      <c r="AU228" s="74">
        <v>0</v>
      </c>
      <c r="AV228" s="74">
        <v>200000</v>
      </c>
      <c r="AW228" s="74">
        <v>244464</v>
      </c>
      <c r="AX228" s="74">
        <f>AS228+AT228+AU228+AV228+AW228</f>
        <v>448087</v>
      </c>
      <c r="AY228" s="74">
        <v>5023</v>
      </c>
      <c r="AZ228" s="74">
        <v>0</v>
      </c>
      <c r="BA228" s="74">
        <v>780808</v>
      </c>
      <c r="BB228" s="74">
        <v>201144</v>
      </c>
      <c r="BC228" s="74">
        <v>244464</v>
      </c>
      <c r="BD228" s="74">
        <f>AY228+AZ228+BA228+BB228+BC228</f>
        <v>1231439</v>
      </c>
      <c r="BE228" s="78">
        <f t="shared" si="224"/>
        <v>0</v>
      </c>
      <c r="BF228" s="29">
        <f t="shared" si="225"/>
        <v>0.24504522339355644</v>
      </c>
      <c r="BG228" s="29">
        <f t="shared" si="226"/>
        <v>0</v>
      </c>
      <c r="BH228" s="20"/>
      <c r="BI228" s="20"/>
      <c r="BJ228" s="5"/>
      <c r="BK228" s="5"/>
      <c r="BL228" s="5"/>
      <c r="BM228" s="5"/>
      <c r="BN228" s="5"/>
      <c r="BO228" s="5"/>
      <c r="BP228" s="5"/>
      <c r="BQ228" s="43"/>
      <c r="BR228" s="43"/>
      <c r="BS228" s="43"/>
      <c r="BT228" s="44"/>
      <c r="BU228" s="43"/>
      <c r="BV228" s="5"/>
      <c r="BW228" s="43"/>
      <c r="BX228" s="43"/>
      <c r="BY228" s="43"/>
      <c r="BZ228" s="44"/>
      <c r="CA228" s="43"/>
      <c r="CB228" s="5"/>
      <c r="CC228" s="45"/>
      <c r="CD228" s="45"/>
      <c r="CE228" s="45"/>
      <c r="CF228" s="46"/>
      <c r="CG228" s="45"/>
      <c r="CH228" s="5"/>
      <c r="CI228" s="44"/>
      <c r="CJ228" s="44"/>
      <c r="CK228" s="44"/>
      <c r="CL228" s="44"/>
      <c r="CM228" s="44"/>
      <c r="CN228" s="47"/>
      <c r="CO228" s="5"/>
      <c r="CP228" s="47"/>
      <c r="CQ228" s="47"/>
      <c r="CR228" s="47"/>
      <c r="CS228" s="47"/>
      <c r="CT228" s="47"/>
      <c r="CU228" s="47"/>
    </row>
    <row r="229" spans="1:99" ht="15" customHeight="1">
      <c r="A229" s="69"/>
      <c r="B229" s="70" t="s">
        <v>382</v>
      </c>
      <c r="C229" s="71" t="s">
        <v>252</v>
      </c>
      <c r="D229" s="70" t="s">
        <v>253</v>
      </c>
      <c r="E229" s="72">
        <v>42460</v>
      </c>
      <c r="F229" s="72"/>
      <c r="G229" s="73">
        <v>6699037</v>
      </c>
      <c r="H229" s="73">
        <v>549665</v>
      </c>
      <c r="I229" s="73">
        <v>19063369</v>
      </c>
      <c r="J229" s="73">
        <v>17986812</v>
      </c>
      <c r="K229" s="73">
        <v>5589775</v>
      </c>
      <c r="L229" s="73">
        <v>93760</v>
      </c>
      <c r="M229" s="73">
        <v>0</v>
      </c>
      <c r="N229" s="73">
        <v>2476187</v>
      </c>
      <c r="O229" s="73">
        <v>8477487</v>
      </c>
      <c r="P229" s="73">
        <f>O229+N229+M229+L229</f>
        <v>11047434</v>
      </c>
      <c r="Q229" s="73">
        <f>10499946</f>
        <v>10499946</v>
      </c>
      <c r="R229" s="73">
        <v>759103</v>
      </c>
      <c r="S229" s="74"/>
      <c r="T229" s="74"/>
      <c r="U229" s="74"/>
      <c r="V229" s="74"/>
      <c r="W229" s="74"/>
      <c r="X229" s="74">
        <v>31919</v>
      </c>
      <c r="Y229" s="74">
        <v>605725</v>
      </c>
      <c r="Z229" s="74">
        <v>-90175</v>
      </c>
      <c r="AA229" s="74">
        <v>54477</v>
      </c>
      <c r="AB229" s="74">
        <f>X229+Y229+Z229+AA229</f>
        <v>601946</v>
      </c>
      <c r="AC229" s="74">
        <v>-90175</v>
      </c>
      <c r="AD229" s="74">
        <v>0</v>
      </c>
      <c r="AE229" s="80">
        <f>AC229+AD229</f>
        <v>-90175</v>
      </c>
      <c r="AF229" s="74">
        <v>0</v>
      </c>
      <c r="AG229" s="74">
        <v>148504</v>
      </c>
      <c r="AH229" s="74">
        <v>148433</v>
      </c>
      <c r="AI229" s="74">
        <v>300000</v>
      </c>
      <c r="AJ229" s="75">
        <v>41729</v>
      </c>
      <c r="AK229" s="74">
        <v>2036798</v>
      </c>
      <c r="AL229" s="74">
        <v>3526204</v>
      </c>
      <c r="AM229" s="74">
        <v>1489406</v>
      </c>
      <c r="AN229" s="76">
        <v>0.5776</v>
      </c>
      <c r="AO229" s="81">
        <v>0.08</v>
      </c>
      <c r="AP229" s="76">
        <v>3.2500000000000001E-2</v>
      </c>
      <c r="AQ229" s="74">
        <v>117595</v>
      </c>
      <c r="AR229" s="74">
        <v>117595</v>
      </c>
      <c r="AS229" s="74"/>
      <c r="AT229" s="74"/>
      <c r="AU229" s="74"/>
      <c r="AV229" s="74"/>
      <c r="AW229" s="74"/>
      <c r="AX229" s="74"/>
      <c r="AY229" s="74"/>
      <c r="AZ229" s="74"/>
      <c r="BA229" s="74"/>
      <c r="BB229" s="74"/>
      <c r="BC229" s="74"/>
      <c r="BD229" s="74"/>
      <c r="BE229" s="78">
        <f t="shared" si="224"/>
        <v>1.0644553296267713E-2</v>
      </c>
      <c r="BF229" s="20" t="e">
        <f t="shared" si="225"/>
        <v>#DIV/0!</v>
      </c>
      <c r="BG229" s="29">
        <f t="shared" si="226"/>
        <v>-3.4207038485136007E-4</v>
      </c>
      <c r="BH229" s="20"/>
      <c r="BI229" s="20"/>
      <c r="BJ229" s="5"/>
      <c r="BK229" s="5"/>
      <c r="BL229" s="5"/>
      <c r="BM229" s="5"/>
      <c r="BN229" s="5"/>
      <c r="BO229" s="5"/>
      <c r="BP229" s="5"/>
      <c r="BQ229" s="43"/>
      <c r="BR229" s="43"/>
      <c r="BS229" s="43"/>
      <c r="BT229" s="44"/>
      <c r="BU229" s="43"/>
      <c r="BV229" s="5"/>
      <c r="BW229" s="43"/>
      <c r="BX229" s="43"/>
      <c r="BY229" s="43"/>
      <c r="BZ229" s="44"/>
      <c r="CA229" s="43"/>
      <c r="CB229" s="5"/>
      <c r="CC229" s="45"/>
      <c r="CD229" s="45"/>
      <c r="CE229" s="45"/>
      <c r="CF229" s="46"/>
      <c r="CG229" s="45"/>
      <c r="CH229" s="5"/>
      <c r="CI229" s="44"/>
      <c r="CJ229" s="44"/>
      <c r="CK229" s="44"/>
      <c r="CL229" s="44"/>
      <c r="CM229" s="44"/>
      <c r="CN229" s="47"/>
      <c r="CO229" s="5"/>
      <c r="CP229" s="47"/>
      <c r="CQ229" s="47"/>
      <c r="CR229" s="47"/>
      <c r="CS229" s="47"/>
      <c r="CT229" s="47"/>
      <c r="CU229" s="47"/>
    </row>
    <row r="230" spans="1:99" ht="15" customHeight="1">
      <c r="A230" s="69"/>
      <c r="B230" s="70" t="s">
        <v>383</v>
      </c>
      <c r="C230" s="71" t="s">
        <v>252</v>
      </c>
      <c r="D230" s="70" t="s">
        <v>253</v>
      </c>
      <c r="E230" s="72">
        <v>42551</v>
      </c>
      <c r="F230" s="72"/>
      <c r="G230" s="73">
        <f>2354815940-2032776537</f>
        <v>322039403</v>
      </c>
      <c r="H230" s="73">
        <f>1479736321-1318950026</f>
        <v>160786295</v>
      </c>
      <c r="I230" s="73">
        <v>2354815940</v>
      </c>
      <c r="J230" s="73">
        <v>889759931</v>
      </c>
      <c r="K230" s="73">
        <v>41148468</v>
      </c>
      <c r="L230" s="73">
        <v>43566244</v>
      </c>
      <c r="M230" s="73">
        <v>63586457</v>
      </c>
      <c r="N230" s="73">
        <v>146236307</v>
      </c>
      <c r="O230" s="73">
        <v>0</v>
      </c>
      <c r="P230" s="73">
        <f>O230+N230+M230+L230</f>
        <v>253389008</v>
      </c>
      <c r="Q230" s="73">
        <v>196565390</v>
      </c>
      <c r="R230" s="73">
        <v>56823618</v>
      </c>
      <c r="S230" s="74">
        <v>55845307</v>
      </c>
      <c r="T230" s="74">
        <v>40346419</v>
      </c>
      <c r="U230" s="74">
        <v>161340596</v>
      </c>
      <c r="V230" s="74">
        <v>325041481</v>
      </c>
      <c r="W230" s="74">
        <v>56851</v>
      </c>
      <c r="X230" s="74">
        <v>24891174</v>
      </c>
      <c r="Y230" s="74">
        <v>51506099</v>
      </c>
      <c r="Z230" s="74">
        <v>76173841</v>
      </c>
      <c r="AA230" s="74">
        <v>231267244</v>
      </c>
      <c r="AB230" s="74">
        <f>X230+Y230+Z230+AA230</f>
        <v>383838358</v>
      </c>
      <c r="AC230" s="74">
        <v>76173841</v>
      </c>
      <c r="AD230" s="74">
        <v>0</v>
      </c>
      <c r="AE230" s="80">
        <f>AC230+AD230</f>
        <v>76173841</v>
      </c>
      <c r="AF230" s="74">
        <v>0</v>
      </c>
      <c r="AG230" s="74">
        <v>15855000</v>
      </c>
      <c r="AH230" s="74">
        <v>15642795</v>
      </c>
      <c r="AI230" s="74">
        <v>5000000</v>
      </c>
      <c r="AJ230" s="75">
        <v>41640</v>
      </c>
      <c r="AK230" s="74">
        <v>26000000</v>
      </c>
      <c r="AL230" s="74">
        <v>203000000</v>
      </c>
      <c r="AM230" s="74">
        <f>AL230-AK230</f>
        <v>177000000</v>
      </c>
      <c r="AN230" s="76">
        <v>0.13020000000000001</v>
      </c>
      <c r="AO230" s="76">
        <v>0.05</v>
      </c>
      <c r="AP230" s="82" t="s">
        <v>384</v>
      </c>
      <c r="AQ230" s="74">
        <v>6361424</v>
      </c>
      <c r="AR230" s="74">
        <v>6361424</v>
      </c>
      <c r="AS230" s="74">
        <v>3047848</v>
      </c>
      <c r="AT230" s="74">
        <v>0</v>
      </c>
      <c r="AU230" s="74">
        <v>0</v>
      </c>
      <c r="AV230" s="74">
        <v>0</v>
      </c>
      <c r="AW230" s="74">
        <v>14498170</v>
      </c>
      <c r="AX230" s="74">
        <f>AS230+AT230+AU230+AV230+AW230</f>
        <v>17546018</v>
      </c>
      <c r="AY230" s="74">
        <v>3231131</v>
      </c>
      <c r="AZ230" s="74">
        <v>129078070</v>
      </c>
      <c r="BA230" s="74">
        <v>50808229</v>
      </c>
      <c r="BB230" s="74">
        <v>0</v>
      </c>
      <c r="BC230" s="74">
        <v>-62028134</v>
      </c>
      <c r="BD230" s="74">
        <f>AY230+AZ230+BA230+BB230+BC230</f>
        <v>121089296</v>
      </c>
      <c r="BE230" s="78">
        <f t="shared" si="224"/>
        <v>2.5105366843695128E-2</v>
      </c>
      <c r="BF230" s="29">
        <f t="shared" si="225"/>
        <v>0.43488414671943998</v>
      </c>
      <c r="BG230" s="29">
        <f t="shared" si="226"/>
        <v>1.3115496272829641</v>
      </c>
      <c r="BH230" s="20"/>
      <c r="BI230" s="20"/>
      <c r="BJ230" s="5"/>
      <c r="BK230" s="5"/>
      <c r="BL230" s="5"/>
      <c r="BM230" s="5"/>
      <c r="BN230" s="5"/>
      <c r="BO230" s="5"/>
      <c r="BP230" s="5"/>
      <c r="BQ230" s="43"/>
      <c r="BR230" s="43"/>
      <c r="BS230" s="43"/>
      <c r="BT230" s="44"/>
      <c r="BU230" s="43"/>
      <c r="BV230" s="5"/>
      <c r="BW230" s="43"/>
      <c r="BX230" s="43"/>
      <c r="BY230" s="43"/>
      <c r="BZ230" s="44"/>
      <c r="CA230" s="43"/>
      <c r="CB230" s="5"/>
      <c r="CC230" s="45"/>
      <c r="CD230" s="45"/>
      <c r="CE230" s="45"/>
      <c r="CF230" s="46"/>
      <c r="CG230" s="45"/>
      <c r="CH230" s="5"/>
      <c r="CI230" s="44"/>
      <c r="CJ230" s="44"/>
      <c r="CK230" s="44"/>
      <c r="CL230" s="44"/>
      <c r="CM230" s="44"/>
      <c r="CN230" s="47"/>
      <c r="CO230" s="5"/>
      <c r="CP230" s="47"/>
      <c r="CQ230" s="47"/>
      <c r="CR230" s="47"/>
      <c r="CS230" s="47"/>
      <c r="CT230" s="47"/>
      <c r="CU230" s="47"/>
    </row>
    <row r="231" spans="1:99" ht="15" customHeight="1">
      <c r="A231" s="69"/>
      <c r="B231" s="70" t="s">
        <v>385</v>
      </c>
      <c r="C231" s="71" t="s">
        <v>252</v>
      </c>
      <c r="D231" s="70" t="s">
        <v>253</v>
      </c>
      <c r="E231" s="72">
        <v>42551</v>
      </c>
      <c r="F231" s="72"/>
      <c r="G231" s="73">
        <f>4925-3453</f>
        <v>1472</v>
      </c>
      <c r="H231" s="73">
        <f>320-165</f>
        <v>155</v>
      </c>
      <c r="I231" s="73">
        <v>4770</v>
      </c>
      <c r="J231" s="73">
        <v>4450</v>
      </c>
      <c r="K231" s="73">
        <v>1327</v>
      </c>
      <c r="L231" s="73"/>
      <c r="M231" s="73"/>
      <c r="N231" s="73"/>
      <c r="O231" s="73"/>
      <c r="P231" s="73"/>
      <c r="Q231" s="73"/>
      <c r="R231" s="73"/>
      <c r="S231" s="74">
        <v>1303988</v>
      </c>
      <c r="T231" s="74">
        <v>831423</v>
      </c>
      <c r="U231" s="74">
        <v>1304560</v>
      </c>
      <c r="V231" s="74">
        <v>1372757</v>
      </c>
      <c r="W231" s="74">
        <v>-239853</v>
      </c>
      <c r="X231" s="74"/>
      <c r="Y231" s="74"/>
      <c r="Z231" s="74"/>
      <c r="AA231" s="74"/>
      <c r="AB231" s="74"/>
      <c r="AC231" s="74"/>
      <c r="AD231" s="74"/>
      <c r="AE231" s="74"/>
      <c r="AF231" s="74"/>
      <c r="AG231" s="74"/>
      <c r="AH231" s="74"/>
      <c r="AI231" s="74"/>
      <c r="AJ231" s="75"/>
      <c r="AK231" s="77"/>
      <c r="AL231" s="77"/>
      <c r="AM231" s="77"/>
      <c r="AN231" s="77"/>
      <c r="AO231" s="77"/>
      <c r="AP231" s="77"/>
      <c r="AQ231" s="74"/>
      <c r="AR231" s="74"/>
      <c r="AS231" s="74"/>
      <c r="AT231" s="74"/>
      <c r="AU231" s="74"/>
      <c r="AV231" s="74"/>
      <c r="AW231" s="74"/>
      <c r="AX231" s="74"/>
      <c r="AY231" s="74"/>
      <c r="AZ231" s="74"/>
      <c r="BA231" s="74"/>
      <c r="BB231" s="74"/>
      <c r="BC231" s="74"/>
      <c r="BD231" s="74"/>
      <c r="BE231" s="83" t="e">
        <f t="shared" si="224"/>
        <v>#DIV/0!</v>
      </c>
      <c r="BF231" s="29">
        <f t="shared" si="225"/>
        <v>0</v>
      </c>
      <c r="BG231" s="20" t="e">
        <f t="shared" si="226"/>
        <v>#DIV/0!</v>
      </c>
      <c r="BH231" s="20"/>
      <c r="BI231" s="20"/>
      <c r="BJ231" s="5"/>
      <c r="BK231" s="5"/>
      <c r="BL231" s="5"/>
      <c r="BM231" s="5"/>
      <c r="BN231" s="5"/>
      <c r="BO231" s="5"/>
      <c r="BP231" s="5"/>
      <c r="BQ231" s="43"/>
      <c r="BR231" s="43"/>
      <c r="BS231" s="43"/>
      <c r="BT231" s="44"/>
      <c r="BU231" s="43"/>
      <c r="BV231" s="5"/>
      <c r="BW231" s="43"/>
      <c r="BX231" s="43"/>
      <c r="BY231" s="43"/>
      <c r="BZ231" s="44"/>
      <c r="CA231" s="43"/>
      <c r="CB231" s="5"/>
      <c r="CC231" s="45"/>
      <c r="CD231" s="45"/>
      <c r="CE231" s="45"/>
      <c r="CF231" s="46"/>
      <c r="CG231" s="45"/>
      <c r="CH231" s="5"/>
      <c r="CI231" s="44"/>
      <c r="CJ231" s="44"/>
      <c r="CK231" s="44"/>
      <c r="CL231" s="44"/>
      <c r="CM231" s="44"/>
      <c r="CN231" s="47"/>
      <c r="CO231" s="5"/>
      <c r="CP231" s="47"/>
      <c r="CQ231" s="47"/>
      <c r="CR231" s="47"/>
      <c r="CS231" s="47"/>
      <c r="CT231" s="47"/>
      <c r="CU231" s="47"/>
    </row>
    <row r="232" spans="1:99" ht="15" customHeight="1">
      <c r="A232" s="69"/>
      <c r="B232" s="70" t="s">
        <v>386</v>
      </c>
      <c r="C232" s="71" t="s">
        <v>252</v>
      </c>
      <c r="D232" s="70" t="s">
        <v>253</v>
      </c>
      <c r="E232" s="72">
        <v>42551</v>
      </c>
      <c r="F232" s="72"/>
      <c r="G232" s="73">
        <v>6645</v>
      </c>
      <c r="H232" s="73">
        <v>29502</v>
      </c>
      <c r="I232" s="73">
        <v>3052134</v>
      </c>
      <c r="J232" s="73">
        <v>0</v>
      </c>
      <c r="K232" s="73">
        <v>0</v>
      </c>
      <c r="L232" s="73"/>
      <c r="M232" s="73"/>
      <c r="N232" s="73"/>
      <c r="O232" s="73"/>
      <c r="P232" s="73"/>
      <c r="Q232" s="73"/>
      <c r="R232" s="73"/>
      <c r="S232" s="74"/>
      <c r="T232" s="74"/>
      <c r="U232" s="74"/>
      <c r="V232" s="74"/>
      <c r="W232" s="74"/>
      <c r="X232" s="74"/>
      <c r="Y232" s="74"/>
      <c r="Z232" s="74"/>
      <c r="AA232" s="74"/>
      <c r="AB232" s="74"/>
      <c r="AC232" s="74"/>
      <c r="AD232" s="74"/>
      <c r="AE232" s="74"/>
      <c r="AF232" s="74"/>
      <c r="AG232" s="74"/>
      <c r="AH232" s="74"/>
      <c r="AI232" s="74"/>
      <c r="AJ232" s="75"/>
      <c r="AK232" s="77"/>
      <c r="AL232" s="77"/>
      <c r="AM232" s="77"/>
      <c r="AN232" s="77"/>
      <c r="AO232" s="77"/>
      <c r="AP232" s="77"/>
      <c r="AQ232" s="74"/>
      <c r="AR232" s="74"/>
      <c r="AS232" s="74"/>
      <c r="AT232" s="74"/>
      <c r="AU232" s="74"/>
      <c r="AV232" s="74"/>
      <c r="AW232" s="74"/>
      <c r="AX232" s="74"/>
      <c r="AY232" s="74"/>
      <c r="AZ232" s="74"/>
      <c r="BA232" s="74"/>
      <c r="BB232" s="74"/>
      <c r="BC232" s="74"/>
      <c r="BD232" s="74"/>
      <c r="BE232" s="83" t="e">
        <f t="shared" si="224"/>
        <v>#DIV/0!</v>
      </c>
      <c r="BF232" s="20" t="e">
        <f t="shared" si="225"/>
        <v>#DIV/0!</v>
      </c>
      <c r="BG232" s="20" t="e">
        <f t="shared" si="226"/>
        <v>#DIV/0!</v>
      </c>
      <c r="BH232" s="20"/>
      <c r="BI232" s="20"/>
      <c r="BJ232" s="5"/>
      <c r="BK232" s="5"/>
      <c r="BL232" s="5"/>
      <c r="BM232" s="5"/>
      <c r="BN232" s="5"/>
      <c r="BO232" s="5"/>
      <c r="BP232" s="5"/>
      <c r="BQ232" s="43"/>
      <c r="BR232" s="43"/>
      <c r="BS232" s="43"/>
      <c r="BT232" s="44"/>
      <c r="BU232" s="43"/>
      <c r="BV232" s="5"/>
      <c r="BW232" s="43"/>
      <c r="BX232" s="43"/>
      <c r="BY232" s="43"/>
      <c r="BZ232" s="44"/>
      <c r="CA232" s="43"/>
      <c r="CB232" s="5"/>
      <c r="CC232" s="45"/>
      <c r="CD232" s="45"/>
      <c r="CE232" s="45"/>
      <c r="CF232" s="46"/>
      <c r="CG232" s="45"/>
      <c r="CH232" s="5"/>
      <c r="CI232" s="44"/>
      <c r="CJ232" s="44"/>
      <c r="CK232" s="44"/>
      <c r="CL232" s="44"/>
      <c r="CM232" s="44"/>
      <c r="CN232" s="47"/>
      <c r="CO232" s="5"/>
      <c r="CP232" s="47"/>
      <c r="CQ232" s="47"/>
      <c r="CR232" s="47"/>
      <c r="CS232" s="47"/>
      <c r="CT232" s="47"/>
      <c r="CU232" s="47"/>
    </row>
    <row r="233" spans="1:99" ht="15" customHeight="1">
      <c r="A233" s="69"/>
      <c r="B233" s="70" t="s">
        <v>387</v>
      </c>
      <c r="C233" s="71" t="s">
        <v>252</v>
      </c>
      <c r="D233" s="70" t="s">
        <v>253</v>
      </c>
      <c r="E233" s="72">
        <v>42551</v>
      </c>
      <c r="F233" s="72"/>
      <c r="G233" s="73">
        <v>1001486</v>
      </c>
      <c r="H233" s="73">
        <v>214642</v>
      </c>
      <c r="I233" s="73">
        <v>1279766</v>
      </c>
      <c r="J233" s="73">
        <v>484146</v>
      </c>
      <c r="K233" s="73">
        <v>205866</v>
      </c>
      <c r="L233" s="73"/>
      <c r="M233" s="73"/>
      <c r="N233" s="73"/>
      <c r="O233" s="73"/>
      <c r="P233" s="73"/>
      <c r="Q233" s="73"/>
      <c r="R233" s="73"/>
      <c r="S233" s="74"/>
      <c r="T233" s="74"/>
      <c r="U233" s="74"/>
      <c r="V233" s="74"/>
      <c r="W233" s="74"/>
      <c r="X233" s="74"/>
      <c r="Y233" s="74"/>
      <c r="Z233" s="74"/>
      <c r="AA233" s="74"/>
      <c r="AB233" s="74"/>
      <c r="AC233" s="74"/>
      <c r="AD233" s="74"/>
      <c r="AE233" s="74"/>
      <c r="AF233" s="74"/>
      <c r="AG233" s="74"/>
      <c r="AH233" s="74"/>
      <c r="AI233" s="74"/>
      <c r="AJ233" s="75"/>
      <c r="AK233" s="77"/>
      <c r="AL233" s="77"/>
      <c r="AM233" s="77"/>
      <c r="AN233" s="77"/>
      <c r="AO233" s="77"/>
      <c r="AP233" s="77"/>
      <c r="AQ233" s="74">
        <v>8971</v>
      </c>
      <c r="AR233" s="74">
        <v>8971</v>
      </c>
      <c r="AS233" s="74"/>
      <c r="AT233" s="74"/>
      <c r="AU233" s="74"/>
      <c r="AV233" s="74"/>
      <c r="AW233" s="74"/>
      <c r="AX233" s="74"/>
      <c r="AY233" s="74"/>
      <c r="AZ233" s="74"/>
      <c r="BA233" s="74"/>
      <c r="BB233" s="74"/>
      <c r="BC233" s="74"/>
      <c r="BD233" s="74"/>
      <c r="BE233" s="83" t="e">
        <f t="shared" si="224"/>
        <v>#DIV/0!</v>
      </c>
      <c r="BF233" s="20" t="e">
        <f t="shared" si="225"/>
        <v>#DIV/0!</v>
      </c>
      <c r="BG233" s="20" t="e">
        <f t="shared" si="226"/>
        <v>#DIV/0!</v>
      </c>
      <c r="BH233" s="20"/>
      <c r="BI233" s="20"/>
      <c r="BJ233" s="5"/>
      <c r="BK233" s="5"/>
      <c r="BL233" s="5"/>
      <c r="BM233" s="5"/>
      <c r="BN233" s="5"/>
      <c r="BO233" s="5"/>
      <c r="BP233" s="5"/>
      <c r="BQ233" s="43"/>
      <c r="BR233" s="43"/>
      <c r="BS233" s="43"/>
      <c r="BT233" s="44"/>
      <c r="BU233" s="43"/>
      <c r="BV233" s="5"/>
      <c r="BW233" s="43"/>
      <c r="BX233" s="43"/>
      <c r="BY233" s="43"/>
      <c r="BZ233" s="44"/>
      <c r="CA233" s="43"/>
      <c r="CB233" s="5"/>
      <c r="CC233" s="45"/>
      <c r="CD233" s="45"/>
      <c r="CE233" s="45"/>
      <c r="CF233" s="46"/>
      <c r="CG233" s="45"/>
      <c r="CH233" s="5"/>
      <c r="CI233" s="44"/>
      <c r="CJ233" s="44"/>
      <c r="CK233" s="44"/>
      <c r="CL233" s="44"/>
      <c r="CM233" s="44"/>
      <c r="CN233" s="47"/>
      <c r="CO233" s="5"/>
      <c r="CP233" s="47"/>
      <c r="CQ233" s="47"/>
      <c r="CR233" s="47"/>
      <c r="CS233" s="47"/>
      <c r="CT233" s="47"/>
      <c r="CU233" s="47"/>
    </row>
    <row r="234" spans="1:99" ht="15" customHeight="1">
      <c r="A234" s="69"/>
      <c r="B234" s="70" t="s">
        <v>388</v>
      </c>
      <c r="C234" s="71" t="s">
        <v>252</v>
      </c>
      <c r="D234" s="70" t="s">
        <v>253</v>
      </c>
      <c r="E234" s="72">
        <v>42551</v>
      </c>
      <c r="F234" s="72"/>
      <c r="G234" s="73">
        <v>17816894</v>
      </c>
      <c r="H234" s="73">
        <v>5149387</v>
      </c>
      <c r="I234" s="73">
        <v>62493334</v>
      </c>
      <c r="J234" s="73">
        <v>56138261</v>
      </c>
      <c r="K234" s="73">
        <v>11574303</v>
      </c>
      <c r="L234" s="73">
        <v>17226</v>
      </c>
      <c r="M234" s="73">
        <v>109275</v>
      </c>
      <c r="N234" s="73">
        <v>18644249</v>
      </c>
      <c r="O234" s="73">
        <v>34481230</v>
      </c>
      <c r="P234" s="73">
        <f>O234+N234+M234+L234</f>
        <v>53251980</v>
      </c>
      <c r="Q234" s="73">
        <v>52373157</v>
      </c>
      <c r="R234" s="73">
        <v>878823</v>
      </c>
      <c r="S234" s="74">
        <v>21146581</v>
      </c>
      <c r="T234" s="74">
        <v>18519832</v>
      </c>
      <c r="U234" s="74">
        <v>53251980</v>
      </c>
      <c r="V234" s="74">
        <v>50527237</v>
      </c>
      <c r="W234" s="74">
        <v>2607612</v>
      </c>
      <c r="X234" s="74">
        <v>74785</v>
      </c>
      <c r="Y234" s="74">
        <v>0</v>
      </c>
      <c r="Z234" s="74">
        <v>775275</v>
      </c>
      <c r="AA234" s="74">
        <f>AB234-X234-Y234-Z234</f>
        <v>355626</v>
      </c>
      <c r="AB234" s="74">
        <v>1205686</v>
      </c>
      <c r="AC234" s="74">
        <v>775275</v>
      </c>
      <c r="AD234" s="74">
        <v>0</v>
      </c>
      <c r="AE234" s="80">
        <f>AC234+AD234</f>
        <v>775275</v>
      </c>
      <c r="AF234" s="74">
        <v>0</v>
      </c>
      <c r="AG234" s="74">
        <v>186068</v>
      </c>
      <c r="AH234" s="74">
        <v>181016</v>
      </c>
      <c r="AI234" s="74">
        <v>13806</v>
      </c>
      <c r="AJ234" s="75">
        <v>42186</v>
      </c>
      <c r="AK234" s="74">
        <v>0</v>
      </c>
      <c r="AL234" s="74">
        <v>609519</v>
      </c>
      <c r="AM234" s="74">
        <v>609519</v>
      </c>
      <c r="AN234" s="76">
        <f>AK234/AL234</f>
        <v>0</v>
      </c>
      <c r="AO234" s="76">
        <v>8.5000000000000006E-2</v>
      </c>
      <c r="AP234" s="76">
        <v>0.03</v>
      </c>
      <c r="AQ234" s="74"/>
      <c r="AR234" s="74"/>
      <c r="AS234" s="74">
        <v>2500</v>
      </c>
      <c r="AT234" s="74">
        <v>0</v>
      </c>
      <c r="AU234" s="74">
        <v>0</v>
      </c>
      <c r="AV234" s="74">
        <v>317929</v>
      </c>
      <c r="AW234" s="74">
        <v>11971457</v>
      </c>
      <c r="AX234" s="74">
        <f>AS234+AT234+AU234+AV234+AW234</f>
        <v>12291886</v>
      </c>
      <c r="AY234" s="74">
        <v>2500</v>
      </c>
      <c r="AZ234" s="74">
        <v>303964</v>
      </c>
      <c r="BA234" s="74">
        <v>71657</v>
      </c>
      <c r="BB234" s="74">
        <v>317929</v>
      </c>
      <c r="BC234" s="74">
        <v>11971457</v>
      </c>
      <c r="BD234" s="74">
        <f>AY234+AZ234+BA234+BB234+BC234</f>
        <v>12667507</v>
      </c>
      <c r="BE234" s="78">
        <f t="shared" si="224"/>
        <v>0</v>
      </c>
      <c r="BF234" s="29">
        <f t="shared" si="225"/>
        <v>0.66371476803893259</v>
      </c>
      <c r="BG234" s="29">
        <f t="shared" si="226"/>
        <v>2.264114874226273E-2</v>
      </c>
      <c r="BH234" s="20"/>
      <c r="BI234" s="20"/>
      <c r="BJ234" s="5"/>
      <c r="BK234" s="5"/>
      <c r="BL234" s="5"/>
      <c r="BM234" s="5"/>
      <c r="BN234" s="5"/>
      <c r="BO234" s="5"/>
      <c r="BP234" s="5"/>
      <c r="BQ234" s="43"/>
      <c r="BR234" s="43"/>
      <c r="BS234" s="43"/>
      <c r="BT234" s="44"/>
      <c r="BU234" s="43"/>
      <c r="BV234" s="5"/>
      <c r="BW234" s="43"/>
      <c r="BX234" s="43"/>
      <c r="BY234" s="43"/>
      <c r="BZ234" s="44"/>
      <c r="CA234" s="43"/>
      <c r="CB234" s="5"/>
      <c r="CC234" s="45"/>
      <c r="CD234" s="45"/>
      <c r="CE234" s="45"/>
      <c r="CF234" s="46"/>
      <c r="CG234" s="45"/>
      <c r="CH234" s="5"/>
      <c r="CI234" s="44"/>
      <c r="CJ234" s="44"/>
      <c r="CK234" s="44"/>
      <c r="CL234" s="44"/>
      <c r="CM234" s="44"/>
      <c r="CN234" s="47"/>
      <c r="CO234" s="5"/>
      <c r="CP234" s="47"/>
      <c r="CQ234" s="47"/>
      <c r="CR234" s="47"/>
      <c r="CS234" s="47"/>
      <c r="CT234" s="47"/>
      <c r="CU234" s="47"/>
    </row>
    <row r="235" spans="1:99" ht="15" customHeight="1">
      <c r="A235" s="69"/>
      <c r="B235" s="70" t="s">
        <v>389</v>
      </c>
      <c r="C235" s="71" t="s">
        <v>252</v>
      </c>
      <c r="D235" s="70" t="s">
        <v>253</v>
      </c>
      <c r="E235" s="72">
        <v>42551</v>
      </c>
      <c r="F235" s="72"/>
      <c r="G235" s="73">
        <v>1456538</v>
      </c>
      <c r="H235" s="73">
        <v>183675</v>
      </c>
      <c r="I235" s="73">
        <v>4206539</v>
      </c>
      <c r="J235" s="73">
        <v>4009521</v>
      </c>
      <c r="K235" s="73">
        <v>1259520</v>
      </c>
      <c r="L235" s="73">
        <v>2398256</v>
      </c>
      <c r="M235" s="73">
        <v>0</v>
      </c>
      <c r="N235" s="73">
        <v>149104</v>
      </c>
      <c r="O235" s="73">
        <v>0</v>
      </c>
      <c r="P235" s="73">
        <f>O235+N235+M235+L235</f>
        <v>2547360</v>
      </c>
      <c r="Q235" s="73">
        <v>2437424</v>
      </c>
      <c r="R235" s="73">
        <v>109936</v>
      </c>
      <c r="S235" s="74">
        <v>2547400</v>
      </c>
      <c r="T235" s="74">
        <v>1812335</v>
      </c>
      <c r="U235" s="74">
        <v>2552777</v>
      </c>
      <c r="V235" s="74">
        <v>2315139</v>
      </c>
      <c r="W235" s="74">
        <v>83460</v>
      </c>
      <c r="X235" s="74"/>
      <c r="Y235" s="74"/>
      <c r="Z235" s="74"/>
      <c r="AA235" s="74"/>
      <c r="AB235" s="74"/>
      <c r="AC235" s="74"/>
      <c r="AD235" s="74"/>
      <c r="AE235" s="74"/>
      <c r="AF235" s="74"/>
      <c r="AG235" s="74"/>
      <c r="AH235" s="74"/>
      <c r="AI235" s="74"/>
      <c r="AJ235" s="75"/>
      <c r="AK235" s="77"/>
      <c r="AL235" s="77"/>
      <c r="AM235" s="77"/>
      <c r="AN235" s="77"/>
      <c r="AO235" s="77"/>
      <c r="AP235" s="77"/>
      <c r="AQ235" s="74"/>
      <c r="AR235" s="74"/>
      <c r="AS235" s="74">
        <v>0</v>
      </c>
      <c r="AT235" s="74">
        <v>0</v>
      </c>
      <c r="AU235" s="74">
        <f>94840+15354</f>
        <v>110194</v>
      </c>
      <c r="AV235" s="74">
        <v>0</v>
      </c>
      <c r="AW235" s="74">
        <v>297831</v>
      </c>
      <c r="AX235" s="74">
        <f>AS235+AT235+AU235+AV235+AW235</f>
        <v>408025</v>
      </c>
      <c r="AY235" s="74">
        <v>0</v>
      </c>
      <c r="AZ235" s="74">
        <v>0</v>
      </c>
      <c r="BA235" s="74">
        <v>715217</v>
      </c>
      <c r="BB235" s="74">
        <v>0</v>
      </c>
      <c r="BC235" s="74">
        <v>297831</v>
      </c>
      <c r="BD235" s="74">
        <f>AY235+AZ235+BA235+BB235+BC235</f>
        <v>1013048</v>
      </c>
      <c r="BE235" s="78">
        <f t="shared" si="224"/>
        <v>0</v>
      </c>
      <c r="BF235" s="29">
        <f t="shared" si="225"/>
        <v>0.22513773667671816</v>
      </c>
      <c r="BG235" s="29">
        <f t="shared" si="226"/>
        <v>0</v>
      </c>
      <c r="BH235" s="20"/>
      <c r="BI235" s="20"/>
      <c r="BJ235" s="5"/>
      <c r="BK235" s="5"/>
      <c r="BL235" s="5"/>
      <c r="BM235" s="5"/>
      <c r="BN235" s="5"/>
      <c r="BO235" s="5"/>
      <c r="BP235" s="5"/>
      <c r="BQ235" s="43"/>
      <c r="BR235" s="43"/>
      <c r="BS235" s="43"/>
      <c r="BT235" s="44"/>
      <c r="BU235" s="43"/>
      <c r="BV235" s="5"/>
      <c r="BW235" s="43"/>
      <c r="BX235" s="43"/>
      <c r="BY235" s="43"/>
      <c r="BZ235" s="44"/>
      <c r="CA235" s="43"/>
      <c r="CB235" s="5"/>
      <c r="CC235" s="45"/>
      <c r="CD235" s="45"/>
      <c r="CE235" s="45"/>
      <c r="CF235" s="46"/>
      <c r="CG235" s="45"/>
      <c r="CH235" s="5"/>
      <c r="CI235" s="44"/>
      <c r="CJ235" s="44"/>
      <c r="CK235" s="44"/>
      <c r="CL235" s="44"/>
      <c r="CM235" s="44"/>
      <c r="CN235" s="47"/>
      <c r="CO235" s="5"/>
      <c r="CP235" s="47"/>
      <c r="CQ235" s="47"/>
      <c r="CR235" s="47"/>
      <c r="CS235" s="47"/>
      <c r="CT235" s="47"/>
      <c r="CU235" s="47"/>
    </row>
    <row r="236" spans="1:99" ht="15" customHeight="1">
      <c r="A236" s="69"/>
      <c r="B236" s="70" t="s">
        <v>390</v>
      </c>
      <c r="C236" s="71" t="s">
        <v>252</v>
      </c>
      <c r="D236" s="70" t="s">
        <v>253</v>
      </c>
      <c r="E236" s="72">
        <v>42551</v>
      </c>
      <c r="F236" s="72"/>
      <c r="G236" s="73">
        <v>440138</v>
      </c>
      <c r="H236" s="73">
        <v>100568</v>
      </c>
      <c r="I236" s="73">
        <v>3268710</v>
      </c>
      <c r="J236" s="73">
        <v>2851264</v>
      </c>
      <c r="K236" s="73">
        <v>198278</v>
      </c>
      <c r="L236" s="73"/>
      <c r="M236" s="73"/>
      <c r="N236" s="73"/>
      <c r="O236" s="73"/>
      <c r="P236" s="73"/>
      <c r="Q236" s="73"/>
      <c r="R236" s="73"/>
      <c r="S236" s="74"/>
      <c r="T236" s="74"/>
      <c r="U236" s="74"/>
      <c r="V236" s="74"/>
      <c r="W236" s="74"/>
      <c r="X236" s="74"/>
      <c r="Y236" s="74"/>
      <c r="Z236" s="74"/>
      <c r="AA236" s="74"/>
      <c r="AB236" s="74"/>
      <c r="AC236" s="74"/>
      <c r="AD236" s="74"/>
      <c r="AE236" s="74"/>
      <c r="AF236" s="74"/>
      <c r="AG236" s="74"/>
      <c r="AH236" s="74"/>
      <c r="AI236" s="74"/>
      <c r="AJ236" s="75"/>
      <c r="AK236" s="77"/>
      <c r="AL236" s="77"/>
      <c r="AM236" s="77"/>
      <c r="AN236" s="77"/>
      <c r="AO236" s="77"/>
      <c r="AP236" s="77"/>
      <c r="AQ236" s="74"/>
      <c r="AR236" s="74"/>
      <c r="AS236" s="74"/>
      <c r="AT236" s="74"/>
      <c r="AU236" s="74"/>
      <c r="AV236" s="74"/>
      <c r="AW236" s="74"/>
      <c r="AX236" s="74"/>
      <c r="AY236" s="74"/>
      <c r="AZ236" s="74"/>
      <c r="BA236" s="74"/>
      <c r="BB236" s="74"/>
      <c r="BC236" s="74"/>
      <c r="BD236" s="74"/>
      <c r="BE236" s="83" t="e">
        <f t="shared" si="224"/>
        <v>#DIV/0!</v>
      </c>
      <c r="BF236" s="20" t="e">
        <f t="shared" si="225"/>
        <v>#DIV/0!</v>
      </c>
      <c r="BG236" s="20" t="e">
        <f t="shared" si="226"/>
        <v>#DIV/0!</v>
      </c>
      <c r="BH236" s="20"/>
      <c r="BI236" s="20"/>
      <c r="BJ236" s="5"/>
      <c r="BK236" s="5"/>
      <c r="BL236" s="5"/>
      <c r="BM236" s="5"/>
      <c r="BN236" s="5"/>
      <c r="BO236" s="5"/>
      <c r="BP236" s="5"/>
      <c r="BQ236" s="43"/>
      <c r="BR236" s="43"/>
      <c r="BS236" s="43"/>
      <c r="BT236" s="44"/>
      <c r="BU236" s="43"/>
      <c r="BV236" s="5"/>
      <c r="BW236" s="43"/>
      <c r="BX236" s="43"/>
      <c r="BY236" s="43"/>
      <c r="BZ236" s="44"/>
      <c r="CA236" s="43"/>
      <c r="CB236" s="5"/>
      <c r="CC236" s="45"/>
      <c r="CD236" s="45"/>
      <c r="CE236" s="45"/>
      <c r="CF236" s="46"/>
      <c r="CG236" s="45"/>
      <c r="CH236" s="5"/>
      <c r="CI236" s="44"/>
      <c r="CJ236" s="44"/>
      <c r="CK236" s="44"/>
      <c r="CL236" s="44"/>
      <c r="CM236" s="44"/>
      <c r="CN236" s="47"/>
      <c r="CO236" s="5"/>
      <c r="CP236" s="47"/>
      <c r="CQ236" s="47"/>
      <c r="CR236" s="47"/>
      <c r="CS236" s="47"/>
      <c r="CT236" s="47"/>
      <c r="CU236" s="47"/>
    </row>
    <row r="237" spans="1:99" ht="15" customHeight="1">
      <c r="A237" s="69"/>
      <c r="B237" s="70" t="s">
        <v>391</v>
      </c>
      <c r="C237" s="71" t="s">
        <v>252</v>
      </c>
      <c r="D237" s="70" t="s">
        <v>253</v>
      </c>
      <c r="E237" s="72">
        <v>42551</v>
      </c>
      <c r="F237" s="72"/>
      <c r="G237" s="73">
        <v>1076273</v>
      </c>
      <c r="H237" s="73">
        <v>298314</v>
      </c>
      <c r="I237" s="73">
        <v>3995852</v>
      </c>
      <c r="J237" s="73">
        <v>2636377</v>
      </c>
      <c r="K237" s="73">
        <v>615421</v>
      </c>
      <c r="L237" s="73"/>
      <c r="M237" s="73"/>
      <c r="N237" s="73"/>
      <c r="O237" s="73"/>
      <c r="P237" s="73"/>
      <c r="Q237" s="73"/>
      <c r="R237" s="73"/>
      <c r="S237" s="74"/>
      <c r="T237" s="74"/>
      <c r="U237" s="74"/>
      <c r="V237" s="74"/>
      <c r="W237" s="74"/>
      <c r="X237" s="74"/>
      <c r="Y237" s="74"/>
      <c r="Z237" s="74"/>
      <c r="AA237" s="74"/>
      <c r="AB237" s="74"/>
      <c r="AC237" s="74"/>
      <c r="AD237" s="74"/>
      <c r="AE237" s="74"/>
      <c r="AF237" s="74"/>
      <c r="AG237" s="74"/>
      <c r="AH237" s="74"/>
      <c r="AI237" s="74"/>
      <c r="AJ237" s="75"/>
      <c r="AK237" s="77"/>
      <c r="AL237" s="77"/>
      <c r="AM237" s="77"/>
      <c r="AN237" s="77"/>
      <c r="AO237" s="77"/>
      <c r="AP237" s="77"/>
      <c r="AQ237" s="74"/>
      <c r="AR237" s="74"/>
      <c r="AS237" s="74"/>
      <c r="AT237" s="74"/>
      <c r="AU237" s="74"/>
      <c r="AV237" s="74"/>
      <c r="AW237" s="74"/>
      <c r="AX237" s="74"/>
      <c r="AY237" s="74"/>
      <c r="AZ237" s="74"/>
      <c r="BA237" s="74"/>
      <c r="BB237" s="74"/>
      <c r="BC237" s="74"/>
      <c r="BD237" s="74"/>
      <c r="BE237" s="83" t="e">
        <f t="shared" si="224"/>
        <v>#DIV/0!</v>
      </c>
      <c r="BF237" s="20" t="e">
        <f t="shared" si="225"/>
        <v>#DIV/0!</v>
      </c>
      <c r="BG237" s="20" t="e">
        <f t="shared" si="226"/>
        <v>#DIV/0!</v>
      </c>
      <c r="BH237" s="20"/>
      <c r="BI237" s="20"/>
      <c r="BJ237" s="5"/>
      <c r="BK237" s="5"/>
      <c r="BL237" s="5"/>
      <c r="BM237" s="5"/>
      <c r="BN237" s="5"/>
      <c r="BO237" s="5"/>
      <c r="BP237" s="5"/>
      <c r="BQ237" s="43"/>
      <c r="BR237" s="43"/>
      <c r="BS237" s="43"/>
      <c r="BT237" s="44"/>
      <c r="BU237" s="43"/>
      <c r="BV237" s="5"/>
      <c r="BW237" s="43"/>
      <c r="BX237" s="43"/>
      <c r="BY237" s="43"/>
      <c r="BZ237" s="44"/>
      <c r="CA237" s="43"/>
      <c r="CB237" s="5"/>
      <c r="CC237" s="45"/>
      <c r="CD237" s="45"/>
      <c r="CE237" s="45"/>
      <c r="CF237" s="46"/>
      <c r="CG237" s="45"/>
      <c r="CH237" s="5"/>
      <c r="CI237" s="44"/>
      <c r="CJ237" s="44"/>
      <c r="CK237" s="44"/>
      <c r="CL237" s="44"/>
      <c r="CM237" s="44"/>
      <c r="CN237" s="47"/>
      <c r="CO237" s="5"/>
      <c r="CP237" s="47"/>
      <c r="CQ237" s="47"/>
      <c r="CR237" s="47"/>
      <c r="CS237" s="47"/>
      <c r="CT237" s="47"/>
      <c r="CU237" s="47"/>
    </row>
    <row r="238" spans="1:99" ht="15" customHeight="1">
      <c r="A238" s="69"/>
      <c r="B238" s="70" t="s">
        <v>392</v>
      </c>
      <c r="C238" s="71" t="s">
        <v>252</v>
      </c>
      <c r="D238" s="70" t="s">
        <v>253</v>
      </c>
      <c r="E238" s="72">
        <v>42551</v>
      </c>
      <c r="F238" s="72"/>
      <c r="G238" s="73">
        <v>803586</v>
      </c>
      <c r="H238" s="73">
        <v>129036</v>
      </c>
      <c r="I238" s="73">
        <v>2951088</v>
      </c>
      <c r="J238" s="70" t="s">
        <v>393</v>
      </c>
      <c r="K238" s="73">
        <v>410979</v>
      </c>
      <c r="L238" s="73"/>
      <c r="M238" s="73"/>
      <c r="N238" s="73"/>
      <c r="O238" s="73"/>
      <c r="P238" s="73"/>
      <c r="Q238" s="73"/>
      <c r="R238" s="73"/>
      <c r="S238" s="74"/>
      <c r="T238" s="74"/>
      <c r="U238" s="74"/>
      <c r="V238" s="74"/>
      <c r="W238" s="74"/>
      <c r="X238" s="74"/>
      <c r="Y238" s="74"/>
      <c r="Z238" s="74"/>
      <c r="AA238" s="74"/>
      <c r="AB238" s="74"/>
      <c r="AC238" s="74"/>
      <c r="AD238" s="74"/>
      <c r="AE238" s="74"/>
      <c r="AF238" s="74"/>
      <c r="AG238" s="74"/>
      <c r="AH238" s="74"/>
      <c r="AI238" s="74"/>
      <c r="AJ238" s="75"/>
      <c r="AK238" s="77"/>
      <c r="AL238" s="77"/>
      <c r="AM238" s="77"/>
      <c r="AN238" s="77"/>
      <c r="AO238" s="77"/>
      <c r="AP238" s="77"/>
      <c r="AQ238" s="74"/>
      <c r="AR238" s="74"/>
      <c r="AS238" s="74"/>
      <c r="AT238" s="74"/>
      <c r="AU238" s="74"/>
      <c r="AV238" s="74"/>
      <c r="AW238" s="74"/>
      <c r="AX238" s="74"/>
      <c r="AY238" s="74"/>
      <c r="AZ238" s="74"/>
      <c r="BA238" s="74"/>
      <c r="BB238" s="74"/>
      <c r="BC238" s="74"/>
      <c r="BD238" s="74"/>
      <c r="BE238" s="83" t="e">
        <f t="shared" si="224"/>
        <v>#DIV/0!</v>
      </c>
      <c r="BF238" s="20" t="e">
        <f t="shared" si="225"/>
        <v>#DIV/0!</v>
      </c>
      <c r="BG238" s="20" t="e">
        <f t="shared" si="226"/>
        <v>#DIV/0!</v>
      </c>
      <c r="BH238" s="20"/>
      <c r="BI238" s="20"/>
      <c r="BJ238" s="5"/>
      <c r="BK238" s="5"/>
      <c r="BL238" s="5"/>
      <c r="BM238" s="5"/>
      <c r="BN238" s="5"/>
      <c r="BO238" s="5"/>
      <c r="BP238" s="5"/>
      <c r="BQ238" s="43"/>
      <c r="BR238" s="43"/>
      <c r="BS238" s="43"/>
      <c r="BT238" s="44"/>
      <c r="BU238" s="43"/>
      <c r="BV238" s="5"/>
      <c r="BW238" s="43"/>
      <c r="BX238" s="43"/>
      <c r="BY238" s="43"/>
      <c r="BZ238" s="44"/>
      <c r="CA238" s="43"/>
      <c r="CB238" s="5"/>
      <c r="CC238" s="45"/>
      <c r="CD238" s="45"/>
      <c r="CE238" s="45"/>
      <c r="CF238" s="46"/>
      <c r="CG238" s="45"/>
      <c r="CH238" s="5"/>
      <c r="CI238" s="44"/>
      <c r="CJ238" s="44"/>
      <c r="CK238" s="44"/>
      <c r="CL238" s="44"/>
      <c r="CM238" s="44"/>
      <c r="CN238" s="47"/>
      <c r="CO238" s="5"/>
      <c r="CP238" s="47"/>
      <c r="CQ238" s="47"/>
      <c r="CR238" s="47"/>
      <c r="CS238" s="47"/>
      <c r="CT238" s="47"/>
      <c r="CU238" s="47"/>
    </row>
    <row r="239" spans="1:99" ht="15" customHeight="1">
      <c r="A239" s="69"/>
      <c r="B239" s="70" t="s">
        <v>394</v>
      </c>
      <c r="C239" s="71" t="s">
        <v>252</v>
      </c>
      <c r="D239" s="70" t="s">
        <v>253</v>
      </c>
      <c r="E239" s="72">
        <v>42551</v>
      </c>
      <c r="F239" s="72"/>
      <c r="G239" s="73">
        <v>3241157</v>
      </c>
      <c r="H239" s="73">
        <v>780569</v>
      </c>
      <c r="I239" s="73">
        <v>11655480</v>
      </c>
      <c r="J239" s="73">
        <v>10220490</v>
      </c>
      <c r="K239" s="73">
        <v>1574047</v>
      </c>
      <c r="L239" s="73">
        <v>8389202</v>
      </c>
      <c r="M239" s="73">
        <v>0</v>
      </c>
      <c r="N239" s="73">
        <f>1750832+18316+16004+761755+9637</f>
        <v>2556544</v>
      </c>
      <c r="O239" s="73">
        <v>491926</v>
      </c>
      <c r="P239" s="73">
        <f>O239+N239+M239+L239</f>
        <v>11437672</v>
      </c>
      <c r="Q239" s="73">
        <v>8094109</v>
      </c>
      <c r="R239" s="73">
        <v>835476</v>
      </c>
      <c r="S239" s="74"/>
      <c r="T239" s="74"/>
      <c r="U239" s="74"/>
      <c r="V239" s="74"/>
      <c r="W239" s="74"/>
      <c r="X239" s="74">
        <v>57773</v>
      </c>
      <c r="Y239" s="74">
        <v>736708</v>
      </c>
      <c r="Z239" s="74">
        <v>0</v>
      </c>
      <c r="AA239" s="74">
        <f>AB239-X239-Y239-Z239</f>
        <v>154117</v>
      </c>
      <c r="AB239" s="74">
        <v>948598</v>
      </c>
      <c r="AC239" s="74"/>
      <c r="AD239" s="74"/>
      <c r="AE239" s="74"/>
      <c r="AF239" s="74"/>
      <c r="AG239" s="74"/>
      <c r="AH239" s="74"/>
      <c r="AI239" s="74"/>
      <c r="AJ239" s="75"/>
      <c r="AK239" s="77"/>
      <c r="AL239" s="77"/>
      <c r="AM239" s="77"/>
      <c r="AN239" s="77"/>
      <c r="AO239" s="77"/>
      <c r="AP239" s="77"/>
      <c r="AQ239" s="74">
        <v>144417</v>
      </c>
      <c r="AR239" s="74">
        <v>144417</v>
      </c>
      <c r="AS239" s="74"/>
      <c r="AT239" s="74"/>
      <c r="AU239" s="74"/>
      <c r="AV239" s="74"/>
      <c r="AW239" s="74"/>
      <c r="AX239" s="74"/>
      <c r="AY239" s="74"/>
      <c r="AZ239" s="74"/>
      <c r="BA239" s="74"/>
      <c r="BB239" s="74"/>
      <c r="BC239" s="74"/>
      <c r="BD239" s="74"/>
      <c r="BE239" s="78">
        <f t="shared" si="224"/>
        <v>1.2626433071345288E-2</v>
      </c>
      <c r="BF239" s="20" t="e">
        <f t="shared" si="225"/>
        <v>#DIV/0!</v>
      </c>
      <c r="BG239" s="29">
        <f t="shared" si="226"/>
        <v>1.8525623046368178E-2</v>
      </c>
      <c r="BH239" s="20"/>
      <c r="BI239" s="20"/>
      <c r="BJ239" s="5"/>
      <c r="BK239" s="5"/>
      <c r="BL239" s="5"/>
      <c r="BM239" s="5"/>
      <c r="BN239" s="5"/>
      <c r="BO239" s="5"/>
      <c r="BP239" s="5"/>
      <c r="BQ239" s="43"/>
      <c r="BR239" s="43"/>
      <c r="BS239" s="43"/>
      <c r="BT239" s="44"/>
      <c r="BU239" s="43"/>
      <c r="BV239" s="5"/>
      <c r="BW239" s="43"/>
      <c r="BX239" s="43"/>
      <c r="BY239" s="43"/>
      <c r="BZ239" s="44"/>
      <c r="CA239" s="43"/>
      <c r="CB239" s="5"/>
      <c r="CC239" s="45"/>
      <c r="CD239" s="45"/>
      <c r="CE239" s="45"/>
      <c r="CF239" s="46"/>
      <c r="CG239" s="45"/>
      <c r="CH239" s="5"/>
      <c r="CI239" s="44"/>
      <c r="CJ239" s="44"/>
      <c r="CK239" s="44"/>
      <c r="CL239" s="44"/>
      <c r="CM239" s="44"/>
      <c r="CN239" s="47"/>
      <c r="CO239" s="5"/>
      <c r="CP239" s="47"/>
      <c r="CQ239" s="47"/>
      <c r="CR239" s="47"/>
      <c r="CS239" s="47"/>
      <c r="CT239" s="47"/>
      <c r="CU239" s="47"/>
    </row>
    <row r="240" spans="1:99" ht="15" customHeight="1">
      <c r="A240" s="69"/>
      <c r="B240" s="70" t="s">
        <v>395</v>
      </c>
      <c r="C240" s="71" t="s">
        <v>252</v>
      </c>
      <c r="D240" s="70" t="s">
        <v>253</v>
      </c>
      <c r="E240" s="72">
        <v>42551</v>
      </c>
      <c r="F240" s="72"/>
      <c r="G240" s="73">
        <v>32160</v>
      </c>
      <c r="H240" s="73">
        <v>38433</v>
      </c>
      <c r="I240" s="73">
        <v>1100671</v>
      </c>
      <c r="J240" s="73">
        <v>0</v>
      </c>
      <c r="K240" s="73">
        <v>1498</v>
      </c>
      <c r="L240" s="73"/>
      <c r="M240" s="73"/>
      <c r="N240" s="73"/>
      <c r="O240" s="73"/>
      <c r="P240" s="73"/>
      <c r="Q240" s="73"/>
      <c r="R240" s="73"/>
      <c r="S240" s="74"/>
      <c r="T240" s="74"/>
      <c r="U240" s="74"/>
      <c r="V240" s="74"/>
      <c r="W240" s="74"/>
      <c r="X240" s="74"/>
      <c r="Y240" s="74"/>
      <c r="Z240" s="74"/>
      <c r="AA240" s="74"/>
      <c r="AB240" s="74"/>
      <c r="AC240" s="74"/>
      <c r="AD240" s="74"/>
      <c r="AE240" s="74"/>
      <c r="AF240" s="74"/>
      <c r="AG240" s="74"/>
      <c r="AH240" s="74"/>
      <c r="AI240" s="74"/>
      <c r="AJ240" s="75"/>
      <c r="AK240" s="77"/>
      <c r="AL240" s="77"/>
      <c r="AM240" s="77"/>
      <c r="AN240" s="77"/>
      <c r="AO240" s="77"/>
      <c r="AP240" s="77"/>
      <c r="AQ240" s="74"/>
      <c r="AR240" s="74"/>
      <c r="AS240" s="74"/>
      <c r="AT240" s="74"/>
      <c r="AU240" s="74"/>
      <c r="AV240" s="74"/>
      <c r="AW240" s="74"/>
      <c r="AX240" s="74"/>
      <c r="AY240" s="74"/>
      <c r="AZ240" s="74"/>
      <c r="BA240" s="74"/>
      <c r="BB240" s="74"/>
      <c r="BC240" s="74"/>
      <c r="BD240" s="74"/>
      <c r="BE240" s="83" t="e">
        <f t="shared" si="224"/>
        <v>#DIV/0!</v>
      </c>
      <c r="BF240" s="20" t="e">
        <f t="shared" si="225"/>
        <v>#DIV/0!</v>
      </c>
      <c r="BG240" s="20" t="e">
        <f t="shared" si="226"/>
        <v>#DIV/0!</v>
      </c>
      <c r="BH240" s="20"/>
      <c r="BI240" s="20"/>
      <c r="BJ240" s="5"/>
      <c r="BK240" s="5"/>
      <c r="BL240" s="5"/>
      <c r="BM240" s="5"/>
      <c r="BN240" s="5"/>
      <c r="BO240" s="5"/>
      <c r="BP240" s="5"/>
      <c r="BQ240" s="43"/>
      <c r="BR240" s="43"/>
      <c r="BS240" s="43"/>
      <c r="BT240" s="44"/>
      <c r="BU240" s="43"/>
      <c r="BV240" s="5"/>
      <c r="BW240" s="43"/>
      <c r="BX240" s="43"/>
      <c r="BY240" s="43"/>
      <c r="BZ240" s="44"/>
      <c r="CA240" s="43"/>
      <c r="CB240" s="5"/>
      <c r="CC240" s="45"/>
      <c r="CD240" s="45"/>
      <c r="CE240" s="45"/>
      <c r="CF240" s="46"/>
      <c r="CG240" s="45"/>
      <c r="CH240" s="5"/>
      <c r="CI240" s="44"/>
      <c r="CJ240" s="44"/>
      <c r="CK240" s="44"/>
      <c r="CL240" s="44"/>
      <c r="CM240" s="44"/>
      <c r="CN240" s="47"/>
      <c r="CO240" s="5"/>
      <c r="CP240" s="47"/>
      <c r="CQ240" s="47"/>
      <c r="CR240" s="47"/>
      <c r="CS240" s="47"/>
      <c r="CT240" s="47"/>
      <c r="CU240" s="47"/>
    </row>
    <row r="241" spans="1:99" ht="15" customHeight="1">
      <c r="A241" s="69"/>
      <c r="B241" s="70" t="s">
        <v>396</v>
      </c>
      <c r="C241" s="71" t="s">
        <v>252</v>
      </c>
      <c r="D241" s="70" t="s">
        <v>253</v>
      </c>
      <c r="E241" s="72">
        <v>42551</v>
      </c>
      <c r="F241" s="72"/>
      <c r="G241" s="73">
        <v>616236</v>
      </c>
      <c r="H241" s="73">
        <v>129853</v>
      </c>
      <c r="I241" s="73">
        <v>5293694</v>
      </c>
      <c r="J241" s="73">
        <v>4831322</v>
      </c>
      <c r="K241" s="73">
        <v>390626</v>
      </c>
      <c r="L241" s="73">
        <v>6231531</v>
      </c>
      <c r="M241" s="73">
        <v>25000</v>
      </c>
      <c r="N241" s="73">
        <f>855819+1899816</f>
        <v>2755635</v>
      </c>
      <c r="O241" s="73">
        <f>2570758+905138</f>
        <v>3475896</v>
      </c>
      <c r="P241" s="73">
        <f t="shared" ref="P241:P249" si="228">O241+N241+M241+L241</f>
        <v>12488062</v>
      </c>
      <c r="Q241" s="73">
        <v>6156672</v>
      </c>
      <c r="R241" s="73">
        <v>101635</v>
      </c>
      <c r="S241" s="74"/>
      <c r="T241" s="74"/>
      <c r="U241" s="74"/>
      <c r="V241" s="74"/>
      <c r="W241" s="74"/>
      <c r="X241" s="74"/>
      <c r="Y241" s="74"/>
      <c r="Z241" s="74"/>
      <c r="AA241" s="74"/>
      <c r="AB241" s="74"/>
      <c r="AC241" s="74"/>
      <c r="AD241" s="74"/>
      <c r="AE241" s="74"/>
      <c r="AF241" s="74"/>
      <c r="AG241" s="74"/>
      <c r="AH241" s="74"/>
      <c r="AI241" s="74"/>
      <c r="AJ241" s="75"/>
      <c r="AK241" s="77"/>
      <c r="AL241" s="77"/>
      <c r="AM241" s="77"/>
      <c r="AN241" s="77"/>
      <c r="AO241" s="77"/>
      <c r="AP241" s="77"/>
      <c r="AQ241" s="74"/>
      <c r="AR241" s="74"/>
      <c r="AS241" s="74"/>
      <c r="AT241" s="74"/>
      <c r="AU241" s="74"/>
      <c r="AV241" s="74"/>
      <c r="AW241" s="74"/>
      <c r="AX241" s="74"/>
      <c r="AY241" s="74"/>
      <c r="AZ241" s="74"/>
      <c r="BA241" s="74"/>
      <c r="BB241" s="74"/>
      <c r="BC241" s="74"/>
      <c r="BD241" s="74"/>
      <c r="BE241" s="78">
        <f t="shared" si="224"/>
        <v>0</v>
      </c>
      <c r="BF241" s="20" t="e">
        <f t="shared" si="225"/>
        <v>#DIV/0!</v>
      </c>
      <c r="BG241" s="29">
        <f t="shared" si="226"/>
        <v>0</v>
      </c>
      <c r="BH241" s="20"/>
      <c r="BI241" s="20"/>
      <c r="BJ241" s="5"/>
      <c r="BK241" s="5"/>
      <c r="BL241" s="5"/>
      <c r="BM241" s="5"/>
      <c r="BN241" s="5"/>
      <c r="BO241" s="5"/>
      <c r="BP241" s="5"/>
      <c r="BQ241" s="43"/>
      <c r="BR241" s="43"/>
      <c r="BS241" s="43"/>
      <c r="BT241" s="44"/>
      <c r="BU241" s="43"/>
      <c r="BV241" s="5"/>
      <c r="BW241" s="43"/>
      <c r="BX241" s="43"/>
      <c r="BY241" s="43"/>
      <c r="BZ241" s="44"/>
      <c r="CA241" s="43"/>
      <c r="CB241" s="5"/>
      <c r="CC241" s="45"/>
      <c r="CD241" s="45"/>
      <c r="CE241" s="45"/>
      <c r="CF241" s="46"/>
      <c r="CG241" s="45"/>
      <c r="CH241" s="5"/>
      <c r="CI241" s="44"/>
      <c r="CJ241" s="44"/>
      <c r="CK241" s="44"/>
      <c r="CL241" s="44"/>
      <c r="CM241" s="44"/>
      <c r="CN241" s="47"/>
      <c r="CO241" s="5"/>
      <c r="CP241" s="47"/>
      <c r="CQ241" s="47"/>
      <c r="CR241" s="47"/>
      <c r="CS241" s="47"/>
      <c r="CT241" s="47"/>
      <c r="CU241" s="47"/>
    </row>
    <row r="242" spans="1:99" ht="15" customHeight="1">
      <c r="A242" s="69"/>
      <c r="B242" s="70" t="s">
        <v>397</v>
      </c>
      <c r="C242" s="71" t="s">
        <v>252</v>
      </c>
      <c r="D242" s="70" t="s">
        <v>253</v>
      </c>
      <c r="E242" s="72">
        <v>42551</v>
      </c>
      <c r="F242" s="72"/>
      <c r="G242" s="73">
        <f>2813364-1532807</f>
        <v>1280557</v>
      </c>
      <c r="H242" s="73">
        <v>10424</v>
      </c>
      <c r="I242" s="73">
        <v>2813364</v>
      </c>
      <c r="J242" s="73">
        <v>2648083</v>
      </c>
      <c r="K242" s="73">
        <v>1273883</v>
      </c>
      <c r="L242" s="73">
        <v>2795</v>
      </c>
      <c r="M242" s="73">
        <v>0</v>
      </c>
      <c r="N242" s="73">
        <v>240803</v>
      </c>
      <c r="O242" s="73">
        <v>863940</v>
      </c>
      <c r="P242" s="73">
        <f t="shared" si="228"/>
        <v>1107538</v>
      </c>
      <c r="Q242" s="73">
        <v>1010083</v>
      </c>
      <c r="R242" s="73">
        <v>97455</v>
      </c>
      <c r="S242" s="74"/>
      <c r="T242" s="74"/>
      <c r="U242" s="74"/>
      <c r="V242" s="74"/>
      <c r="W242" s="74"/>
      <c r="X242" s="74"/>
      <c r="Y242" s="74"/>
      <c r="Z242" s="74"/>
      <c r="AA242" s="74"/>
      <c r="AB242" s="74"/>
      <c r="AC242" s="74"/>
      <c r="AD242" s="74"/>
      <c r="AE242" s="74"/>
      <c r="AF242" s="74"/>
      <c r="AG242" s="74"/>
      <c r="AH242" s="74"/>
      <c r="AI242" s="74"/>
      <c r="AJ242" s="75"/>
      <c r="AK242" s="77"/>
      <c r="AL242" s="77"/>
      <c r="AM242" s="77"/>
      <c r="AN242" s="77"/>
      <c r="AO242" s="77"/>
      <c r="AP242" s="77"/>
      <c r="AQ242" s="74"/>
      <c r="AR242" s="74"/>
      <c r="AS242" s="74"/>
      <c r="AT242" s="74"/>
      <c r="AU242" s="74"/>
      <c r="AV242" s="74"/>
      <c r="AW242" s="74"/>
      <c r="AX242" s="74"/>
      <c r="AY242" s="74"/>
      <c r="AZ242" s="74"/>
      <c r="BA242" s="74"/>
      <c r="BB242" s="74"/>
      <c r="BC242" s="74"/>
      <c r="BD242" s="74"/>
      <c r="BE242" s="78">
        <f t="shared" si="224"/>
        <v>0</v>
      </c>
      <c r="BF242" s="20" t="e">
        <f t="shared" si="225"/>
        <v>#DIV/0!</v>
      </c>
      <c r="BG242" s="29">
        <f t="shared" si="226"/>
        <v>0</v>
      </c>
      <c r="BH242" s="20"/>
      <c r="BI242" s="20"/>
      <c r="BJ242" s="5"/>
      <c r="BK242" s="5"/>
      <c r="BL242" s="5"/>
      <c r="BM242" s="5"/>
      <c r="BN242" s="5"/>
      <c r="BO242" s="5"/>
      <c r="BP242" s="5"/>
      <c r="BQ242" s="43"/>
      <c r="BR242" s="43"/>
      <c r="BS242" s="43"/>
      <c r="BT242" s="44"/>
      <c r="BU242" s="43"/>
      <c r="BV242" s="5"/>
      <c r="BW242" s="43"/>
      <c r="BX242" s="43"/>
      <c r="BY242" s="43"/>
      <c r="BZ242" s="44"/>
      <c r="CA242" s="43"/>
      <c r="CB242" s="5"/>
      <c r="CC242" s="45"/>
      <c r="CD242" s="45"/>
      <c r="CE242" s="45"/>
      <c r="CF242" s="46"/>
      <c r="CG242" s="45"/>
      <c r="CH242" s="5"/>
      <c r="CI242" s="44"/>
      <c r="CJ242" s="44"/>
      <c r="CK242" s="44"/>
      <c r="CL242" s="44"/>
      <c r="CM242" s="44"/>
      <c r="CN242" s="47"/>
      <c r="CO242" s="5"/>
      <c r="CP242" s="47"/>
      <c r="CQ242" s="47"/>
      <c r="CR242" s="47"/>
      <c r="CS242" s="47"/>
      <c r="CT242" s="47"/>
      <c r="CU242" s="47"/>
    </row>
    <row r="243" spans="1:99" ht="15" customHeight="1">
      <c r="A243" s="69"/>
      <c r="B243" s="70" t="s">
        <v>398</v>
      </c>
      <c r="C243" s="71" t="s">
        <v>252</v>
      </c>
      <c r="D243" s="70" t="s">
        <v>253</v>
      </c>
      <c r="E243" s="72">
        <v>42551</v>
      </c>
      <c r="F243" s="72"/>
      <c r="G243" s="73">
        <v>6809467</v>
      </c>
      <c r="H243" s="73">
        <v>419843</v>
      </c>
      <c r="I243" s="73">
        <v>13010409</v>
      </c>
      <c r="J243" s="73">
        <v>11900393</v>
      </c>
      <c r="K243" s="73">
        <v>5774368</v>
      </c>
      <c r="L243" s="73">
        <v>7192694</v>
      </c>
      <c r="M243" s="73">
        <v>46591</v>
      </c>
      <c r="N243" s="73">
        <f>2038813+186731</f>
        <v>2225544</v>
      </c>
      <c r="O243" s="73">
        <f>4870436+96714</f>
        <v>4967150</v>
      </c>
      <c r="P243" s="73">
        <f t="shared" si="228"/>
        <v>14431979</v>
      </c>
      <c r="Q243" s="73">
        <v>7245753</v>
      </c>
      <c r="R243" s="73">
        <v>22173</v>
      </c>
      <c r="S243" s="74"/>
      <c r="T243" s="74"/>
      <c r="U243" s="74"/>
      <c r="V243" s="74"/>
      <c r="W243" s="74"/>
      <c r="X243" s="74"/>
      <c r="Y243" s="74"/>
      <c r="Z243" s="74"/>
      <c r="AA243" s="74"/>
      <c r="AB243" s="74"/>
      <c r="AC243" s="74"/>
      <c r="AD243" s="74"/>
      <c r="AE243" s="74"/>
      <c r="AF243" s="74"/>
      <c r="AG243" s="74"/>
      <c r="AH243" s="74"/>
      <c r="AI243" s="74"/>
      <c r="AJ243" s="75"/>
      <c r="AK243" s="77"/>
      <c r="AL243" s="77"/>
      <c r="AM243" s="77"/>
      <c r="AN243" s="77"/>
      <c r="AO243" s="77"/>
      <c r="AP243" s="77"/>
      <c r="AQ243" s="74"/>
      <c r="AR243" s="74"/>
      <c r="AS243" s="74"/>
      <c r="AT243" s="74"/>
      <c r="AU243" s="74"/>
      <c r="AV243" s="74"/>
      <c r="AW243" s="74"/>
      <c r="AX243" s="74"/>
      <c r="AY243" s="74"/>
      <c r="AZ243" s="74"/>
      <c r="BA243" s="74"/>
      <c r="BB243" s="74"/>
      <c r="BC243" s="74"/>
      <c r="BD243" s="74"/>
      <c r="BE243" s="78">
        <f t="shared" si="224"/>
        <v>0</v>
      </c>
      <c r="BF243" s="20" t="e">
        <f t="shared" si="225"/>
        <v>#DIV/0!</v>
      </c>
      <c r="BG243" s="29">
        <f t="shared" si="226"/>
        <v>0</v>
      </c>
      <c r="BH243" s="20"/>
      <c r="BI243" s="20"/>
      <c r="BJ243" s="5"/>
      <c r="BK243" s="5"/>
      <c r="BL243" s="5"/>
      <c r="BM243" s="5"/>
      <c r="BN243" s="5"/>
      <c r="BO243" s="5"/>
      <c r="BP243" s="5"/>
      <c r="BQ243" s="43"/>
      <c r="BR243" s="43"/>
      <c r="BS243" s="43"/>
      <c r="BT243" s="44"/>
      <c r="BU243" s="43"/>
      <c r="BV243" s="5"/>
      <c r="BW243" s="43"/>
      <c r="BX243" s="43"/>
      <c r="BY243" s="43"/>
      <c r="BZ243" s="44"/>
      <c r="CA243" s="43"/>
      <c r="CB243" s="5"/>
      <c r="CC243" s="45"/>
      <c r="CD243" s="45"/>
      <c r="CE243" s="45"/>
      <c r="CF243" s="46"/>
      <c r="CG243" s="45"/>
      <c r="CH243" s="5"/>
      <c r="CI243" s="44"/>
      <c r="CJ243" s="44"/>
      <c r="CK243" s="44"/>
      <c r="CL243" s="44"/>
      <c r="CM243" s="44"/>
      <c r="CN243" s="47"/>
      <c r="CO243" s="5"/>
      <c r="CP243" s="47"/>
      <c r="CQ243" s="47"/>
      <c r="CR243" s="47"/>
      <c r="CS243" s="47"/>
      <c r="CT243" s="47"/>
      <c r="CU243" s="47"/>
    </row>
    <row r="244" spans="1:99" ht="15" customHeight="1">
      <c r="A244" s="69"/>
      <c r="B244" s="70" t="s">
        <v>399</v>
      </c>
      <c r="C244" s="71" t="s">
        <v>252</v>
      </c>
      <c r="D244" s="70" t="s">
        <v>253</v>
      </c>
      <c r="E244" s="72">
        <v>42460</v>
      </c>
      <c r="F244" s="72"/>
      <c r="G244" s="73">
        <v>5767846</v>
      </c>
      <c r="H244" s="73">
        <v>2732223</v>
      </c>
      <c r="I244" s="73">
        <v>33740540</v>
      </c>
      <c r="J244" s="73">
        <v>18735491</v>
      </c>
      <c r="K244" s="73">
        <v>2573989</v>
      </c>
      <c r="L244" s="73">
        <v>18478746</v>
      </c>
      <c r="M244" s="73">
        <v>492600</v>
      </c>
      <c r="N244" s="73">
        <f>4441536+449571</f>
        <v>4891107</v>
      </c>
      <c r="O244" s="73">
        <v>13587639</v>
      </c>
      <c r="P244" s="73">
        <f t="shared" si="228"/>
        <v>37450092</v>
      </c>
      <c r="Q244" s="73">
        <v>18655869</v>
      </c>
      <c r="R244" s="73">
        <v>-278869</v>
      </c>
      <c r="S244" s="74"/>
      <c r="T244" s="74"/>
      <c r="U244" s="74"/>
      <c r="V244" s="74"/>
      <c r="W244" s="74"/>
      <c r="X244" s="74">
        <v>-365000</v>
      </c>
      <c r="Y244" s="74">
        <v>0</v>
      </c>
      <c r="Z244" s="74">
        <v>0</v>
      </c>
      <c r="AA244" s="74">
        <f>AB244-X244-Y244-Z244</f>
        <v>4715646</v>
      </c>
      <c r="AB244" s="74">
        <v>4350646</v>
      </c>
      <c r="AC244" s="74">
        <v>431638</v>
      </c>
      <c r="AD244" s="74">
        <v>0</v>
      </c>
      <c r="AE244" s="80">
        <f>AC244+AD244</f>
        <v>431638</v>
      </c>
      <c r="AF244" s="74">
        <v>0</v>
      </c>
      <c r="AG244" s="74">
        <v>147492</v>
      </c>
      <c r="AH244" s="74">
        <v>175989</v>
      </c>
      <c r="AI244" s="74">
        <v>76243</v>
      </c>
      <c r="AJ244" s="82" t="s">
        <v>400</v>
      </c>
      <c r="AK244" s="74">
        <v>0</v>
      </c>
      <c r="AL244" s="74">
        <v>2132073</v>
      </c>
      <c r="AM244" s="74">
        <v>2132073</v>
      </c>
      <c r="AN244" s="81">
        <v>0</v>
      </c>
      <c r="AO244" s="76">
        <v>0.08</v>
      </c>
      <c r="AP244" s="76">
        <v>3.2500000000000001E-2</v>
      </c>
      <c r="AQ244" s="74">
        <v>224581</v>
      </c>
      <c r="AR244" s="74">
        <v>224581</v>
      </c>
      <c r="AS244" s="74"/>
      <c r="AT244" s="74"/>
      <c r="AU244" s="74"/>
      <c r="AV244" s="74"/>
      <c r="AW244" s="74"/>
      <c r="AX244" s="74"/>
      <c r="AY244" s="74"/>
      <c r="AZ244" s="74"/>
      <c r="BA244" s="74"/>
      <c r="BB244" s="74"/>
      <c r="BC244" s="74"/>
      <c r="BD244" s="74"/>
      <c r="BE244" s="78">
        <f t="shared" si="224"/>
        <v>5.9968076980959082E-3</v>
      </c>
      <c r="BF244" s="20" t="e">
        <f t="shared" si="225"/>
        <v>#DIV/0!</v>
      </c>
      <c r="BG244" s="29">
        <f t="shared" si="226"/>
        <v>0.11617183744168105</v>
      </c>
      <c r="BH244" s="20"/>
      <c r="BI244" s="20"/>
      <c r="BJ244" s="5"/>
      <c r="BK244" s="5"/>
      <c r="BL244" s="5"/>
      <c r="BM244" s="5"/>
      <c r="BN244" s="5"/>
      <c r="BO244" s="5"/>
      <c r="BP244" s="5"/>
      <c r="BQ244" s="43"/>
      <c r="BR244" s="43"/>
      <c r="BS244" s="43"/>
      <c r="BT244" s="44"/>
      <c r="BU244" s="43"/>
      <c r="BV244" s="5"/>
      <c r="BW244" s="43"/>
      <c r="BX244" s="43"/>
      <c r="BY244" s="43"/>
      <c r="BZ244" s="44"/>
      <c r="CA244" s="43"/>
      <c r="CB244" s="5"/>
      <c r="CC244" s="45"/>
      <c r="CD244" s="45"/>
      <c r="CE244" s="45"/>
      <c r="CF244" s="46"/>
      <c r="CG244" s="45"/>
      <c r="CH244" s="5"/>
      <c r="CI244" s="44"/>
      <c r="CJ244" s="44"/>
      <c r="CK244" s="44"/>
      <c r="CL244" s="44"/>
      <c r="CM244" s="44"/>
      <c r="CN244" s="47"/>
      <c r="CO244" s="5"/>
      <c r="CP244" s="47"/>
      <c r="CQ244" s="47"/>
      <c r="CR244" s="47"/>
      <c r="CS244" s="47"/>
      <c r="CT244" s="47"/>
      <c r="CU244" s="47"/>
    </row>
    <row r="245" spans="1:99" ht="15" customHeight="1">
      <c r="A245" s="69"/>
      <c r="B245" s="70" t="s">
        <v>401</v>
      </c>
      <c r="C245" s="71" t="s">
        <v>252</v>
      </c>
      <c r="D245" s="70" t="s">
        <v>253</v>
      </c>
      <c r="E245" s="72">
        <v>42460</v>
      </c>
      <c r="F245" s="72"/>
      <c r="G245" s="73">
        <v>24344562</v>
      </c>
      <c r="H245" s="73">
        <v>5119692</v>
      </c>
      <c r="I245" s="73">
        <v>181249150</v>
      </c>
      <c r="J245" s="73">
        <v>143606415</v>
      </c>
      <c r="K245" s="73">
        <v>20772651</v>
      </c>
      <c r="L245" s="73">
        <v>42259150</v>
      </c>
      <c r="M245" s="73">
        <v>642595</v>
      </c>
      <c r="N245" s="73">
        <f>9876133+3722296</f>
        <v>13598429</v>
      </c>
      <c r="O245" s="73">
        <f>28033701+627020</f>
        <v>28660721</v>
      </c>
      <c r="P245" s="73">
        <f t="shared" si="228"/>
        <v>85160895</v>
      </c>
      <c r="Q245" s="73">
        <v>44881813</v>
      </c>
      <c r="R245" s="73">
        <v>-475107</v>
      </c>
      <c r="S245" s="74"/>
      <c r="T245" s="74"/>
      <c r="U245" s="74"/>
      <c r="V245" s="74"/>
      <c r="W245" s="74"/>
      <c r="X245" s="74">
        <v>-437468</v>
      </c>
      <c r="Y245" s="74">
        <v>0</v>
      </c>
      <c r="Z245" s="74">
        <v>0</v>
      </c>
      <c r="AA245" s="74">
        <f>AB245-X245-Y245-Z245</f>
        <v>29092133</v>
      </c>
      <c r="AB245" s="74">
        <v>28654665</v>
      </c>
      <c r="AC245" s="74"/>
      <c r="AD245" s="74"/>
      <c r="AE245" s="74"/>
      <c r="AF245" s="74"/>
      <c r="AG245" s="74"/>
      <c r="AH245" s="74"/>
      <c r="AI245" s="74"/>
      <c r="AJ245" s="75"/>
      <c r="AK245" s="77"/>
      <c r="AL245" s="77"/>
      <c r="AM245" s="77"/>
      <c r="AN245" s="77"/>
      <c r="AO245" s="76">
        <v>0.08</v>
      </c>
      <c r="AP245" s="76">
        <v>3.2500000000000001E-2</v>
      </c>
      <c r="AQ245" s="74">
        <v>457518</v>
      </c>
      <c r="AR245" s="74">
        <v>457518</v>
      </c>
      <c r="AS245" s="74"/>
      <c r="AT245" s="74"/>
      <c r="AU245" s="74"/>
      <c r="AV245" s="74"/>
      <c r="AW245" s="74"/>
      <c r="AX245" s="74"/>
      <c r="AY245" s="74"/>
      <c r="AZ245" s="74"/>
      <c r="BA245" s="74"/>
      <c r="BB245" s="74"/>
      <c r="BC245" s="74"/>
      <c r="BD245" s="74"/>
      <c r="BE245" s="78">
        <f t="shared" ref="BE245:BE276" si="229">AQ245/P245</f>
        <v>5.3723953934490705E-3</v>
      </c>
      <c r="BF245" s="20" t="e">
        <f t="shared" ref="BF245:BF276" si="230">AX245/T245</f>
        <v>#DIV/0!</v>
      </c>
      <c r="BG245" s="29">
        <f t="shared" ref="BG245:BG276" si="231">(AB245-Y245)/P245</f>
        <v>0.33647679489512178</v>
      </c>
      <c r="BH245" s="20"/>
      <c r="BI245" s="20"/>
      <c r="BJ245" s="5"/>
      <c r="BK245" s="5"/>
      <c r="BL245" s="5"/>
      <c r="BM245" s="5"/>
      <c r="BN245" s="5"/>
      <c r="BO245" s="5"/>
      <c r="BP245" s="5"/>
      <c r="BQ245" s="43"/>
      <c r="BR245" s="43"/>
      <c r="BS245" s="43"/>
      <c r="BT245" s="44"/>
      <c r="BU245" s="43"/>
      <c r="BV245" s="5"/>
      <c r="BW245" s="43"/>
      <c r="BX245" s="43"/>
      <c r="BY245" s="43"/>
      <c r="BZ245" s="44"/>
      <c r="CA245" s="43"/>
      <c r="CB245" s="5"/>
      <c r="CC245" s="45"/>
      <c r="CD245" s="45"/>
      <c r="CE245" s="45"/>
      <c r="CF245" s="46"/>
      <c r="CG245" s="45"/>
      <c r="CH245" s="5"/>
      <c r="CI245" s="44"/>
      <c r="CJ245" s="44"/>
      <c r="CK245" s="44"/>
      <c r="CL245" s="44"/>
      <c r="CM245" s="44"/>
      <c r="CN245" s="47"/>
      <c r="CO245" s="5"/>
      <c r="CP245" s="47"/>
      <c r="CQ245" s="47"/>
      <c r="CR245" s="47"/>
      <c r="CS245" s="47"/>
      <c r="CT245" s="47"/>
      <c r="CU245" s="47"/>
    </row>
    <row r="246" spans="1:99" ht="15" customHeight="1">
      <c r="A246" s="69"/>
      <c r="B246" s="70" t="s">
        <v>402</v>
      </c>
      <c r="C246" s="71" t="s">
        <v>252</v>
      </c>
      <c r="D246" s="70" t="s">
        <v>253</v>
      </c>
      <c r="E246" s="72">
        <v>42643</v>
      </c>
      <c r="F246" s="72"/>
      <c r="G246" s="73">
        <v>2976531</v>
      </c>
      <c r="H246" s="73">
        <v>2039212</v>
      </c>
      <c r="I246" s="73">
        <v>25150856</v>
      </c>
      <c r="J246" s="73">
        <v>13122367</v>
      </c>
      <c r="K246" s="73">
        <v>2004401</v>
      </c>
      <c r="L246" s="73">
        <v>14109746</v>
      </c>
      <c r="M246" s="73">
        <v>289558</v>
      </c>
      <c r="N246" s="73">
        <f>2016097+1488834</f>
        <v>3504931</v>
      </c>
      <c r="O246" s="73">
        <f>10558390+46425</f>
        <v>10604815</v>
      </c>
      <c r="P246" s="73">
        <f t="shared" si="228"/>
        <v>28509050</v>
      </c>
      <c r="Q246" s="73">
        <v>13489846</v>
      </c>
      <c r="R246" s="73">
        <v>256147</v>
      </c>
      <c r="S246" s="74"/>
      <c r="T246" s="74"/>
      <c r="U246" s="74"/>
      <c r="V246" s="74"/>
      <c r="W246" s="74"/>
      <c r="X246" s="74"/>
      <c r="Y246" s="74"/>
      <c r="Z246" s="74"/>
      <c r="AA246" s="74"/>
      <c r="AB246" s="74"/>
      <c r="AC246" s="74"/>
      <c r="AD246" s="74"/>
      <c r="AE246" s="74"/>
      <c r="AF246" s="74"/>
      <c r="AG246" s="74"/>
      <c r="AH246" s="74"/>
      <c r="AI246" s="74"/>
      <c r="AJ246" s="75"/>
      <c r="AK246" s="77"/>
      <c r="AL246" s="77"/>
      <c r="AM246" s="77"/>
      <c r="AN246" s="77"/>
      <c r="AO246" s="77"/>
      <c r="AP246" s="77"/>
      <c r="AQ246" s="74"/>
      <c r="AR246" s="74"/>
      <c r="AS246" s="74"/>
      <c r="AT246" s="74"/>
      <c r="AU246" s="74"/>
      <c r="AV246" s="74"/>
      <c r="AW246" s="74"/>
      <c r="AX246" s="74"/>
      <c r="AY246" s="74"/>
      <c r="AZ246" s="74"/>
      <c r="BA246" s="74"/>
      <c r="BB246" s="74"/>
      <c r="BC246" s="74"/>
      <c r="BD246" s="74"/>
      <c r="BE246" s="78">
        <f t="shared" si="229"/>
        <v>0</v>
      </c>
      <c r="BF246" s="20" t="e">
        <f t="shared" si="230"/>
        <v>#DIV/0!</v>
      </c>
      <c r="BG246" s="29">
        <f t="shared" si="231"/>
        <v>0</v>
      </c>
      <c r="BH246" s="20"/>
      <c r="BI246" s="20"/>
      <c r="BJ246" s="5"/>
      <c r="BK246" s="5"/>
      <c r="BL246" s="5"/>
      <c r="BM246" s="5"/>
      <c r="BN246" s="5"/>
      <c r="BO246" s="5"/>
      <c r="BP246" s="5"/>
      <c r="BQ246" s="43"/>
      <c r="BR246" s="43"/>
      <c r="BS246" s="43"/>
      <c r="BT246" s="44"/>
      <c r="BU246" s="43"/>
      <c r="BV246" s="5"/>
      <c r="BW246" s="43"/>
      <c r="BX246" s="43"/>
      <c r="BY246" s="43"/>
      <c r="BZ246" s="44"/>
      <c r="CA246" s="43"/>
      <c r="CB246" s="5"/>
      <c r="CC246" s="45"/>
      <c r="CD246" s="45"/>
      <c r="CE246" s="45"/>
      <c r="CF246" s="46"/>
      <c r="CG246" s="45"/>
      <c r="CH246" s="5"/>
      <c r="CI246" s="44"/>
      <c r="CJ246" s="44"/>
      <c r="CK246" s="44"/>
      <c r="CL246" s="44"/>
      <c r="CM246" s="44"/>
      <c r="CN246" s="47"/>
      <c r="CO246" s="5"/>
      <c r="CP246" s="47"/>
      <c r="CQ246" s="47"/>
      <c r="CR246" s="47"/>
      <c r="CS246" s="47"/>
      <c r="CT246" s="47"/>
      <c r="CU246" s="47"/>
    </row>
    <row r="247" spans="1:99" ht="15" customHeight="1">
      <c r="A247" s="69"/>
      <c r="B247" s="70" t="s">
        <v>403</v>
      </c>
      <c r="C247" s="71" t="s">
        <v>252</v>
      </c>
      <c r="D247" s="70" t="s">
        <v>253</v>
      </c>
      <c r="E247" s="72">
        <v>42460</v>
      </c>
      <c r="F247" s="72"/>
      <c r="G247" s="73">
        <v>413281</v>
      </c>
      <c r="H247" s="73">
        <v>227183</v>
      </c>
      <c r="I247" s="73">
        <v>2249364</v>
      </c>
      <c r="J247" s="73">
        <v>1706803</v>
      </c>
      <c r="K247" s="73">
        <v>-243757</v>
      </c>
      <c r="L247" s="73">
        <v>3277856</v>
      </c>
      <c r="M247" s="73">
        <v>0</v>
      </c>
      <c r="N247" s="73">
        <f>545264+4123+3931</f>
        <v>553318</v>
      </c>
      <c r="O247" s="73">
        <v>2724538</v>
      </c>
      <c r="P247" s="73">
        <f t="shared" si="228"/>
        <v>6555712</v>
      </c>
      <c r="Q247" s="73">
        <v>3476987</v>
      </c>
      <c r="R247" s="70" t="s">
        <v>404</v>
      </c>
      <c r="S247" s="74"/>
      <c r="T247" s="74"/>
      <c r="U247" s="74"/>
      <c r="V247" s="74"/>
      <c r="W247" s="74"/>
      <c r="X247" s="74"/>
      <c r="Y247" s="74"/>
      <c r="Z247" s="74"/>
      <c r="AA247" s="74"/>
      <c r="AB247" s="74"/>
      <c r="AC247" s="74"/>
      <c r="AD247" s="74"/>
      <c r="AE247" s="74"/>
      <c r="AF247" s="74"/>
      <c r="AG247" s="74"/>
      <c r="AH247" s="74"/>
      <c r="AI247" s="74"/>
      <c r="AJ247" s="75"/>
      <c r="AK247" s="77"/>
      <c r="AL247" s="77"/>
      <c r="AM247" s="77"/>
      <c r="AN247" s="77"/>
      <c r="AO247" s="76">
        <v>0.08</v>
      </c>
      <c r="AP247" s="76">
        <v>3.2500000000000001E-2</v>
      </c>
      <c r="AQ247" s="74"/>
      <c r="AR247" s="74"/>
      <c r="AS247" s="74"/>
      <c r="AT247" s="74"/>
      <c r="AU247" s="74"/>
      <c r="AV247" s="74"/>
      <c r="AW247" s="74"/>
      <c r="AX247" s="74"/>
      <c r="AY247" s="74"/>
      <c r="AZ247" s="74"/>
      <c r="BA247" s="74"/>
      <c r="BB247" s="74"/>
      <c r="BC247" s="74"/>
      <c r="BD247" s="74"/>
      <c r="BE247" s="78">
        <f t="shared" si="229"/>
        <v>0</v>
      </c>
      <c r="BF247" s="20" t="e">
        <f t="shared" si="230"/>
        <v>#DIV/0!</v>
      </c>
      <c r="BG247" s="29">
        <f t="shared" si="231"/>
        <v>0</v>
      </c>
      <c r="BH247" s="20"/>
      <c r="BI247" s="20"/>
      <c r="BJ247" s="5"/>
      <c r="BK247" s="5"/>
      <c r="BL247" s="5"/>
      <c r="BM247" s="5"/>
      <c r="BN247" s="5"/>
      <c r="BO247" s="5"/>
      <c r="BP247" s="5"/>
      <c r="BQ247" s="43"/>
      <c r="BR247" s="43"/>
      <c r="BS247" s="43"/>
      <c r="BT247" s="44"/>
      <c r="BU247" s="43"/>
      <c r="BV247" s="5"/>
      <c r="BW247" s="43"/>
      <c r="BX247" s="43"/>
      <c r="BY247" s="43"/>
      <c r="BZ247" s="44"/>
      <c r="CA247" s="43"/>
      <c r="CB247" s="5"/>
      <c r="CC247" s="45"/>
      <c r="CD247" s="45"/>
      <c r="CE247" s="45"/>
      <c r="CF247" s="46"/>
      <c r="CG247" s="45"/>
      <c r="CH247" s="5"/>
      <c r="CI247" s="44"/>
      <c r="CJ247" s="44"/>
      <c r="CK247" s="44"/>
      <c r="CL247" s="44"/>
      <c r="CM247" s="44"/>
      <c r="CN247" s="47"/>
      <c r="CO247" s="5"/>
      <c r="CP247" s="47"/>
      <c r="CQ247" s="47"/>
      <c r="CR247" s="47"/>
      <c r="CS247" s="47"/>
      <c r="CT247" s="47"/>
      <c r="CU247" s="47"/>
    </row>
    <row r="248" spans="1:99" ht="15" customHeight="1">
      <c r="A248" s="69"/>
      <c r="B248" s="70" t="s">
        <v>405</v>
      </c>
      <c r="C248" s="71" t="s">
        <v>252</v>
      </c>
      <c r="D248" s="70" t="s">
        <v>253</v>
      </c>
      <c r="E248" s="72">
        <v>42551</v>
      </c>
      <c r="F248" s="72"/>
      <c r="G248" s="73">
        <f>10342930-7460210</f>
        <v>2882720</v>
      </c>
      <c r="H248" s="73">
        <f>863740-80811</f>
        <v>782929</v>
      </c>
      <c r="I248" s="73">
        <v>10342930</v>
      </c>
      <c r="J248" s="73">
        <v>9479190</v>
      </c>
      <c r="K248" s="73">
        <v>2018980</v>
      </c>
      <c r="L248" s="73">
        <v>1249173</v>
      </c>
      <c r="M248" s="73">
        <v>792871</v>
      </c>
      <c r="N248" s="73">
        <v>1077855</v>
      </c>
      <c r="O248" s="73">
        <v>5125284</v>
      </c>
      <c r="P248" s="73">
        <f t="shared" si="228"/>
        <v>8245183</v>
      </c>
      <c r="Q248" s="73">
        <v>8802824</v>
      </c>
      <c r="R248" s="73">
        <v>-557641</v>
      </c>
      <c r="S248" s="74"/>
      <c r="T248" s="74"/>
      <c r="U248" s="74"/>
      <c r="V248" s="74"/>
      <c r="W248" s="74"/>
      <c r="X248" s="74">
        <v>64649</v>
      </c>
      <c r="Y248" s="74">
        <v>0</v>
      </c>
      <c r="Z248" s="74">
        <v>0</v>
      </c>
      <c r="AA248" s="74">
        <f>AB248-X248-Y248-Z248</f>
        <v>16162</v>
      </c>
      <c r="AB248" s="74">
        <v>80811</v>
      </c>
      <c r="AC248" s="74"/>
      <c r="AD248" s="74"/>
      <c r="AE248" s="74"/>
      <c r="AF248" s="74"/>
      <c r="AG248" s="74"/>
      <c r="AH248" s="74"/>
      <c r="AI248" s="74"/>
      <c r="AJ248" s="75"/>
      <c r="AK248" s="77"/>
      <c r="AL248" s="77"/>
      <c r="AM248" s="77"/>
      <c r="AN248" s="77"/>
      <c r="AO248" s="77"/>
      <c r="AP248" s="77"/>
      <c r="AQ248" s="74"/>
      <c r="AR248" s="74"/>
      <c r="AS248" s="74">
        <v>73962</v>
      </c>
      <c r="AT248" s="74">
        <v>0</v>
      </c>
      <c r="AU248" s="74">
        <v>0</v>
      </c>
      <c r="AV248" s="74">
        <v>0</v>
      </c>
      <c r="AW248" s="74">
        <v>239836</v>
      </c>
      <c r="AX248" s="74">
        <f>AS248+AT248+AU248+AV248+AW248</f>
        <v>313798</v>
      </c>
      <c r="AY248" s="74">
        <v>73962</v>
      </c>
      <c r="AZ248" s="74">
        <v>0</v>
      </c>
      <c r="BA248" s="74">
        <v>0</v>
      </c>
      <c r="BB248" s="74">
        <v>1785993</v>
      </c>
      <c r="BC248" s="74">
        <v>239836</v>
      </c>
      <c r="BD248" s="74">
        <f>AY248+AZ248+BA248+BB248+BC248</f>
        <v>2099791</v>
      </c>
      <c r="BE248" s="78">
        <f t="shared" si="229"/>
        <v>0</v>
      </c>
      <c r="BF248" s="20" t="e">
        <f t="shared" si="230"/>
        <v>#DIV/0!</v>
      </c>
      <c r="BG248" s="29">
        <f t="shared" si="231"/>
        <v>9.8009953205404898E-3</v>
      </c>
      <c r="BH248" s="20"/>
      <c r="BI248" s="20"/>
      <c r="BJ248" s="5"/>
      <c r="BK248" s="5"/>
      <c r="BL248" s="5"/>
      <c r="BM248" s="5"/>
      <c r="BN248" s="5"/>
      <c r="BO248" s="5"/>
      <c r="BP248" s="5"/>
      <c r="BQ248" s="43"/>
      <c r="BR248" s="43"/>
      <c r="BS248" s="43"/>
      <c r="BT248" s="44"/>
      <c r="BU248" s="43"/>
      <c r="BV248" s="5"/>
      <c r="BW248" s="43"/>
      <c r="BX248" s="43"/>
      <c r="BY248" s="43"/>
      <c r="BZ248" s="44"/>
      <c r="CA248" s="43"/>
      <c r="CB248" s="5"/>
      <c r="CC248" s="45"/>
      <c r="CD248" s="45"/>
      <c r="CE248" s="45"/>
      <c r="CF248" s="46"/>
      <c r="CG248" s="45"/>
      <c r="CH248" s="5"/>
      <c r="CI248" s="44"/>
      <c r="CJ248" s="44"/>
      <c r="CK248" s="44"/>
      <c r="CL248" s="44"/>
      <c r="CM248" s="44"/>
      <c r="CN248" s="47"/>
      <c r="CO248" s="5"/>
      <c r="CP248" s="47"/>
      <c r="CQ248" s="47"/>
      <c r="CR248" s="47"/>
      <c r="CS248" s="47"/>
      <c r="CT248" s="47"/>
      <c r="CU248" s="47"/>
    </row>
    <row r="249" spans="1:99" ht="15" customHeight="1">
      <c r="A249" s="69"/>
      <c r="B249" s="70" t="s">
        <v>406</v>
      </c>
      <c r="C249" s="71" t="s">
        <v>252</v>
      </c>
      <c r="D249" s="70" t="s">
        <v>253</v>
      </c>
      <c r="E249" s="84">
        <v>42551</v>
      </c>
      <c r="F249" s="85"/>
      <c r="G249" s="73">
        <v>1626048</v>
      </c>
      <c r="H249" s="73">
        <v>981860</v>
      </c>
      <c r="I249" s="73">
        <v>1626048</v>
      </c>
      <c r="J249" s="73">
        <v>1626048</v>
      </c>
      <c r="K249" s="73">
        <v>644188</v>
      </c>
      <c r="L249" s="73">
        <v>885040</v>
      </c>
      <c r="M249" s="73">
        <v>0</v>
      </c>
      <c r="N249" s="73">
        <f>104902+46397+14930+9446</f>
        <v>175675</v>
      </c>
      <c r="O249" s="73">
        <v>709365</v>
      </c>
      <c r="P249" s="73">
        <f t="shared" si="228"/>
        <v>1770080</v>
      </c>
      <c r="Q249" s="73">
        <v>307378</v>
      </c>
      <c r="R249" s="73">
        <v>577662</v>
      </c>
      <c r="S249" s="74"/>
      <c r="T249" s="74"/>
      <c r="U249" s="74"/>
      <c r="V249" s="74"/>
      <c r="W249" s="74"/>
      <c r="X249" s="74"/>
      <c r="Y249" s="74"/>
      <c r="Z249" s="74"/>
      <c r="AA249" s="74"/>
      <c r="AB249" s="74"/>
      <c r="AC249" s="74"/>
      <c r="AD249" s="74"/>
      <c r="AE249" s="74"/>
      <c r="AF249" s="74"/>
      <c r="AG249" s="74"/>
      <c r="AH249" s="74"/>
      <c r="AI249" s="74"/>
      <c r="AJ249" s="75"/>
      <c r="AK249" s="77"/>
      <c r="AL249" s="77"/>
      <c r="AM249" s="77"/>
      <c r="AN249" s="77"/>
      <c r="AO249" s="77"/>
      <c r="AP249" s="77"/>
      <c r="AQ249" s="74"/>
      <c r="AR249" s="74"/>
      <c r="AS249" s="74"/>
      <c r="AT249" s="74"/>
      <c r="AU249" s="74"/>
      <c r="AV249" s="74"/>
      <c r="AW249" s="74"/>
      <c r="AX249" s="74"/>
      <c r="AY249" s="74"/>
      <c r="AZ249" s="74"/>
      <c r="BA249" s="74"/>
      <c r="BB249" s="74"/>
      <c r="BC249" s="74"/>
      <c r="BD249" s="74"/>
      <c r="BE249" s="78">
        <f t="shared" si="229"/>
        <v>0</v>
      </c>
      <c r="BF249" s="20" t="e">
        <f t="shared" si="230"/>
        <v>#DIV/0!</v>
      </c>
      <c r="BG249" s="29">
        <f t="shared" si="231"/>
        <v>0</v>
      </c>
      <c r="BH249" s="20"/>
      <c r="BI249" s="20"/>
      <c r="BJ249" s="5"/>
      <c r="BK249" s="5"/>
      <c r="BL249" s="5"/>
      <c r="BM249" s="5"/>
      <c r="BN249" s="5"/>
      <c r="BO249" s="5"/>
      <c r="BP249" s="5"/>
      <c r="BQ249" s="43"/>
      <c r="BR249" s="43"/>
      <c r="BS249" s="43"/>
      <c r="BT249" s="44"/>
      <c r="BU249" s="43"/>
      <c r="BV249" s="5"/>
      <c r="BW249" s="43"/>
      <c r="BX249" s="43"/>
      <c r="BY249" s="43"/>
      <c r="BZ249" s="44"/>
      <c r="CA249" s="43"/>
      <c r="CB249" s="5"/>
      <c r="CC249" s="45"/>
      <c r="CD249" s="45"/>
      <c r="CE249" s="45"/>
      <c r="CF249" s="46"/>
      <c r="CG249" s="45"/>
      <c r="CH249" s="5"/>
      <c r="CI249" s="44"/>
      <c r="CJ249" s="44"/>
      <c r="CK249" s="44"/>
      <c r="CL249" s="44"/>
      <c r="CM249" s="44"/>
      <c r="CN249" s="47"/>
      <c r="CO249" s="5"/>
      <c r="CP249" s="47"/>
      <c r="CQ249" s="47"/>
      <c r="CR249" s="47"/>
      <c r="CS249" s="47"/>
      <c r="CT249" s="47"/>
      <c r="CU249" s="47"/>
    </row>
    <row r="250" spans="1:99" ht="15" customHeight="1">
      <c r="A250" s="69"/>
      <c r="B250" s="70" t="s">
        <v>407</v>
      </c>
      <c r="C250" s="71" t="s">
        <v>252</v>
      </c>
      <c r="D250" s="70" t="s">
        <v>253</v>
      </c>
      <c r="E250" s="72">
        <v>42551</v>
      </c>
      <c r="F250" s="72"/>
      <c r="G250" s="70" t="s">
        <v>408</v>
      </c>
      <c r="H250" s="70" t="s">
        <v>409</v>
      </c>
      <c r="I250" s="70" t="s">
        <v>410</v>
      </c>
      <c r="J250" s="73"/>
      <c r="K250" s="73"/>
      <c r="L250" s="73"/>
      <c r="M250" s="73"/>
      <c r="N250" s="73"/>
      <c r="O250" s="73"/>
      <c r="P250" s="73"/>
      <c r="Q250" s="73"/>
      <c r="R250" s="73"/>
      <c r="S250" s="74"/>
      <c r="T250" s="74"/>
      <c r="U250" s="74"/>
      <c r="V250" s="74"/>
      <c r="W250" s="74"/>
      <c r="X250" s="74"/>
      <c r="Y250" s="74"/>
      <c r="Z250" s="74"/>
      <c r="AA250" s="74"/>
      <c r="AB250" s="74"/>
      <c r="AC250" s="74"/>
      <c r="AD250" s="74"/>
      <c r="AE250" s="74"/>
      <c r="AF250" s="74"/>
      <c r="AG250" s="74"/>
      <c r="AH250" s="74"/>
      <c r="AI250" s="74"/>
      <c r="AJ250" s="75"/>
      <c r="AK250" s="77"/>
      <c r="AL250" s="77"/>
      <c r="AM250" s="77"/>
      <c r="AN250" s="77"/>
      <c r="AO250" s="77"/>
      <c r="AP250" s="77"/>
      <c r="AQ250" s="74"/>
      <c r="AR250" s="74"/>
      <c r="AS250" s="74"/>
      <c r="AT250" s="74"/>
      <c r="AU250" s="74"/>
      <c r="AV250" s="74"/>
      <c r="AW250" s="74"/>
      <c r="AX250" s="74"/>
      <c r="AY250" s="74"/>
      <c r="AZ250" s="74"/>
      <c r="BA250" s="74"/>
      <c r="BB250" s="74"/>
      <c r="BC250" s="74"/>
      <c r="BD250" s="74"/>
      <c r="BE250" s="83" t="e">
        <f t="shared" si="229"/>
        <v>#DIV/0!</v>
      </c>
      <c r="BF250" s="20" t="e">
        <f t="shared" si="230"/>
        <v>#DIV/0!</v>
      </c>
      <c r="BG250" s="20" t="e">
        <f t="shared" si="231"/>
        <v>#DIV/0!</v>
      </c>
      <c r="BH250" s="20"/>
      <c r="BI250" s="20"/>
      <c r="BJ250" s="5"/>
      <c r="BK250" s="5"/>
      <c r="BL250" s="5"/>
      <c r="BM250" s="5"/>
      <c r="BN250" s="5"/>
      <c r="BO250" s="5"/>
      <c r="BP250" s="5"/>
      <c r="BQ250" s="43"/>
      <c r="BR250" s="43"/>
      <c r="BS250" s="43"/>
      <c r="BT250" s="44"/>
      <c r="BU250" s="43"/>
      <c r="BV250" s="5"/>
      <c r="BW250" s="43"/>
      <c r="BX250" s="43"/>
      <c r="BY250" s="43"/>
      <c r="BZ250" s="44"/>
      <c r="CA250" s="43"/>
      <c r="CB250" s="5"/>
      <c r="CC250" s="45"/>
      <c r="CD250" s="45"/>
      <c r="CE250" s="45"/>
      <c r="CF250" s="46"/>
      <c r="CG250" s="45"/>
      <c r="CH250" s="5"/>
      <c r="CI250" s="44"/>
      <c r="CJ250" s="44"/>
      <c r="CK250" s="44"/>
      <c r="CL250" s="44"/>
      <c r="CM250" s="44"/>
      <c r="CN250" s="47"/>
      <c r="CO250" s="5"/>
      <c r="CP250" s="47"/>
      <c r="CQ250" s="47"/>
      <c r="CR250" s="47"/>
      <c r="CS250" s="47"/>
      <c r="CT250" s="47"/>
      <c r="CU250" s="47"/>
    </row>
    <row r="251" spans="1:99" ht="15" customHeight="1">
      <c r="A251" s="69"/>
      <c r="B251" s="70" t="s">
        <v>411</v>
      </c>
      <c r="C251" s="71" t="s">
        <v>252</v>
      </c>
      <c r="D251" s="70" t="s">
        <v>253</v>
      </c>
      <c r="E251" s="72">
        <v>42643</v>
      </c>
      <c r="F251" s="72"/>
      <c r="G251" s="73">
        <f>710531*1000</f>
        <v>710531000</v>
      </c>
      <c r="H251" s="73">
        <v>479718000</v>
      </c>
      <c r="I251" s="73">
        <v>3761762000</v>
      </c>
      <c r="J251" s="73">
        <v>1566298000</v>
      </c>
      <c r="K251" s="73">
        <v>1087549000</v>
      </c>
      <c r="L251" s="73"/>
      <c r="M251" s="73"/>
      <c r="N251" s="73"/>
      <c r="O251" s="73"/>
      <c r="P251" s="73"/>
      <c r="Q251" s="73"/>
      <c r="R251" s="73"/>
      <c r="S251" s="74"/>
      <c r="T251" s="74"/>
      <c r="U251" s="74"/>
      <c r="V251" s="74"/>
      <c r="W251" s="74"/>
      <c r="X251" s="74"/>
      <c r="Y251" s="74"/>
      <c r="Z251" s="74"/>
      <c r="AA251" s="74"/>
      <c r="AB251" s="74"/>
      <c r="AC251" s="74"/>
      <c r="AD251" s="74"/>
      <c r="AE251" s="74"/>
      <c r="AF251" s="74"/>
      <c r="AG251" s="74"/>
      <c r="AH251" s="74"/>
      <c r="AI251" s="74"/>
      <c r="AJ251" s="75"/>
      <c r="AK251" s="77"/>
      <c r="AL251" s="77"/>
      <c r="AM251" s="77"/>
      <c r="AN251" s="77"/>
      <c r="AO251" s="77"/>
      <c r="AP251" s="77"/>
      <c r="AQ251" s="74"/>
      <c r="AR251" s="74"/>
      <c r="AS251" s="74"/>
      <c r="AT251" s="74"/>
      <c r="AU251" s="74"/>
      <c r="AV251" s="74"/>
      <c r="AW251" s="74"/>
      <c r="AX251" s="74"/>
      <c r="AY251" s="74"/>
      <c r="AZ251" s="74"/>
      <c r="BA251" s="74"/>
      <c r="BB251" s="74"/>
      <c r="BC251" s="74"/>
      <c r="BD251" s="74"/>
      <c r="BE251" s="83" t="e">
        <f t="shared" si="229"/>
        <v>#DIV/0!</v>
      </c>
      <c r="BF251" s="20" t="e">
        <f t="shared" si="230"/>
        <v>#DIV/0!</v>
      </c>
      <c r="BG251" s="20" t="e">
        <f t="shared" si="231"/>
        <v>#DIV/0!</v>
      </c>
      <c r="BH251" s="20"/>
      <c r="BI251" s="20"/>
      <c r="BJ251" s="5"/>
      <c r="BK251" s="5"/>
      <c r="BL251" s="5"/>
      <c r="BM251" s="5"/>
      <c r="BN251" s="5"/>
      <c r="BO251" s="5"/>
      <c r="BP251" s="5"/>
      <c r="BQ251" s="43"/>
      <c r="BR251" s="43"/>
      <c r="BS251" s="43"/>
      <c r="BT251" s="44"/>
      <c r="BU251" s="43"/>
      <c r="BV251" s="5"/>
      <c r="BW251" s="43"/>
      <c r="BX251" s="43"/>
      <c r="BY251" s="43"/>
      <c r="BZ251" s="44"/>
      <c r="CA251" s="43"/>
      <c r="CB251" s="5"/>
      <c r="CC251" s="45"/>
      <c r="CD251" s="45"/>
      <c r="CE251" s="45"/>
      <c r="CF251" s="46"/>
      <c r="CG251" s="45"/>
      <c r="CH251" s="5"/>
      <c r="CI251" s="44"/>
      <c r="CJ251" s="44"/>
      <c r="CK251" s="44"/>
      <c r="CL251" s="44"/>
      <c r="CM251" s="44"/>
      <c r="CN251" s="47"/>
      <c r="CO251" s="5"/>
      <c r="CP251" s="47"/>
      <c r="CQ251" s="47"/>
      <c r="CR251" s="47"/>
      <c r="CS251" s="47"/>
      <c r="CT251" s="47"/>
      <c r="CU251" s="47"/>
    </row>
    <row r="252" spans="1:99" ht="15" customHeight="1">
      <c r="A252" s="69"/>
      <c r="B252" s="70" t="s">
        <v>412</v>
      </c>
      <c r="C252" s="71" t="s">
        <v>252</v>
      </c>
      <c r="D252" s="70" t="s">
        <v>253</v>
      </c>
      <c r="E252" s="72">
        <v>42551</v>
      </c>
      <c r="F252" s="72"/>
      <c r="G252" s="73">
        <f>988874-714375</f>
        <v>274499</v>
      </c>
      <c r="H252" s="73">
        <v>110623</v>
      </c>
      <c r="I252" s="73">
        <v>988874</v>
      </c>
      <c r="J252" s="73">
        <v>878251</v>
      </c>
      <c r="K252" s="73">
        <v>-195247</v>
      </c>
      <c r="L252" s="73">
        <v>564967</v>
      </c>
      <c r="M252" s="73">
        <v>0</v>
      </c>
      <c r="N252" s="73">
        <v>0</v>
      </c>
      <c r="O252" s="73">
        <v>0</v>
      </c>
      <c r="P252" s="73">
        <f>O252+N252+M252+L252</f>
        <v>564967</v>
      </c>
      <c r="Q252" s="73">
        <v>700370</v>
      </c>
      <c r="R252" s="73">
        <v>125463</v>
      </c>
      <c r="S252" s="74">
        <v>564967</v>
      </c>
      <c r="T252" s="74">
        <v>586931</v>
      </c>
      <c r="U252" s="74">
        <v>825833</v>
      </c>
      <c r="V252" s="74">
        <v>752956</v>
      </c>
      <c r="W252" s="74">
        <v>-21964</v>
      </c>
      <c r="X252" s="74"/>
      <c r="Y252" s="74"/>
      <c r="Z252" s="74"/>
      <c r="AA252" s="74"/>
      <c r="AB252" s="74"/>
      <c r="AC252" s="74"/>
      <c r="AD252" s="74"/>
      <c r="AE252" s="74"/>
      <c r="AF252" s="74"/>
      <c r="AG252" s="74"/>
      <c r="AH252" s="74"/>
      <c r="AI252" s="74"/>
      <c r="AJ252" s="75"/>
      <c r="AK252" s="77"/>
      <c r="AL252" s="77"/>
      <c r="AM252" s="77"/>
      <c r="AN252" s="77"/>
      <c r="AO252" s="77"/>
      <c r="AP252" s="77"/>
      <c r="AQ252" s="74"/>
      <c r="AR252" s="74"/>
      <c r="AS252" s="74">
        <v>2071</v>
      </c>
      <c r="AT252" s="74">
        <v>0</v>
      </c>
      <c r="AU252" s="74">
        <v>0</v>
      </c>
      <c r="AV252" s="74">
        <v>0</v>
      </c>
      <c r="AW252" s="74">
        <v>-45533</v>
      </c>
      <c r="AX252" s="74">
        <f>AS252+AT252+AU252+AV252+AW252</f>
        <v>-43462</v>
      </c>
      <c r="AY252" s="74">
        <v>2071</v>
      </c>
      <c r="AZ252" s="74">
        <v>0</v>
      </c>
      <c r="BA252" s="74">
        <v>357052</v>
      </c>
      <c r="BB252" s="74">
        <v>0</v>
      </c>
      <c r="BC252" s="74">
        <v>-195247</v>
      </c>
      <c r="BD252" s="74">
        <f>AY252+AZ252+BA252+BB252+BC252</f>
        <v>163876</v>
      </c>
      <c r="BE252" s="78">
        <f t="shared" si="229"/>
        <v>0</v>
      </c>
      <c r="BF252" s="29">
        <f t="shared" si="230"/>
        <v>-7.4049590156253467E-2</v>
      </c>
      <c r="BG252" s="29">
        <f t="shared" si="231"/>
        <v>0</v>
      </c>
      <c r="BH252" s="20"/>
      <c r="BI252" s="20"/>
      <c r="BJ252" s="5"/>
      <c r="BK252" s="5"/>
      <c r="BL252" s="5"/>
      <c r="BM252" s="5"/>
      <c r="BN252" s="5"/>
      <c r="BO252" s="5"/>
      <c r="BP252" s="5"/>
      <c r="BQ252" s="43"/>
      <c r="BR252" s="43"/>
      <c r="BS252" s="43"/>
      <c r="BT252" s="44"/>
      <c r="BU252" s="43"/>
      <c r="BV252" s="5"/>
      <c r="BW252" s="43"/>
      <c r="BX252" s="43"/>
      <c r="BY252" s="43"/>
      <c r="BZ252" s="44"/>
      <c r="CA252" s="43"/>
      <c r="CB252" s="5"/>
      <c r="CC252" s="45"/>
      <c r="CD252" s="45"/>
      <c r="CE252" s="45"/>
      <c r="CF252" s="46"/>
      <c r="CG252" s="45"/>
      <c r="CH252" s="5"/>
      <c r="CI252" s="44"/>
      <c r="CJ252" s="44"/>
      <c r="CK252" s="44"/>
      <c r="CL252" s="44"/>
      <c r="CM252" s="44"/>
      <c r="CN252" s="47"/>
      <c r="CO252" s="5"/>
      <c r="CP252" s="47"/>
      <c r="CQ252" s="47"/>
      <c r="CR252" s="47"/>
      <c r="CS252" s="47"/>
      <c r="CT252" s="47"/>
      <c r="CU252" s="47"/>
    </row>
    <row r="253" spans="1:99" ht="15" customHeight="1">
      <c r="A253" s="69"/>
      <c r="B253" s="70" t="s">
        <v>413</v>
      </c>
      <c r="C253" s="71" t="s">
        <v>252</v>
      </c>
      <c r="D253" s="70" t="s">
        <v>253</v>
      </c>
      <c r="E253" s="72">
        <v>42551</v>
      </c>
      <c r="F253" s="72"/>
      <c r="G253" s="73">
        <v>817715</v>
      </c>
      <c r="H253" s="73">
        <v>173343</v>
      </c>
      <c r="I253" s="73">
        <v>4870848</v>
      </c>
      <c r="J253" s="73">
        <v>3599286</v>
      </c>
      <c r="K253" s="73">
        <v>648811</v>
      </c>
      <c r="L253" s="73"/>
      <c r="M253" s="73"/>
      <c r="N253" s="73"/>
      <c r="O253" s="73"/>
      <c r="P253" s="73"/>
      <c r="Q253" s="73"/>
      <c r="R253" s="73"/>
      <c r="S253" s="74">
        <v>1498104</v>
      </c>
      <c r="T253" s="74">
        <v>2372480</v>
      </c>
      <c r="U253" s="74">
        <v>1501887</v>
      </c>
      <c r="V253" s="74">
        <v>1256565</v>
      </c>
      <c r="W253" s="74">
        <v>-320</v>
      </c>
      <c r="X253" s="74">
        <v>190878</v>
      </c>
      <c r="Y253" s="74">
        <v>0</v>
      </c>
      <c r="Z253" s="74">
        <v>0</v>
      </c>
      <c r="AA253" s="74">
        <f>AB253-X253-Y253-Z253</f>
        <v>907341</v>
      </c>
      <c r="AB253" s="74">
        <v>1098219</v>
      </c>
      <c r="AC253" s="74"/>
      <c r="AD253" s="74"/>
      <c r="AE253" s="74"/>
      <c r="AF253" s="74"/>
      <c r="AG253" s="74"/>
      <c r="AH253" s="74"/>
      <c r="AI253" s="74"/>
      <c r="AJ253" s="75"/>
      <c r="AK253" s="77"/>
      <c r="AL253" s="77"/>
      <c r="AM253" s="77"/>
      <c r="AN253" s="77"/>
      <c r="AO253" s="77"/>
      <c r="AP253" s="77"/>
      <c r="AQ253" s="74"/>
      <c r="AR253" s="74"/>
      <c r="AS253" s="74"/>
      <c r="AT253" s="74"/>
      <c r="AU253" s="74"/>
      <c r="AV253" s="74"/>
      <c r="AW253" s="74"/>
      <c r="AX253" s="74"/>
      <c r="AY253" s="74"/>
      <c r="AZ253" s="74"/>
      <c r="BA253" s="74"/>
      <c r="BB253" s="74"/>
      <c r="BC253" s="74"/>
      <c r="BD253" s="74"/>
      <c r="BE253" s="83" t="e">
        <f t="shared" si="229"/>
        <v>#DIV/0!</v>
      </c>
      <c r="BF253" s="29">
        <f t="shared" si="230"/>
        <v>0</v>
      </c>
      <c r="BG253" s="20" t="e">
        <f t="shared" si="231"/>
        <v>#DIV/0!</v>
      </c>
      <c r="BH253" s="20"/>
      <c r="BI253" s="20"/>
      <c r="BJ253" s="5"/>
      <c r="BK253" s="5"/>
      <c r="BL253" s="5"/>
      <c r="BM253" s="5"/>
      <c r="BN253" s="5"/>
      <c r="BO253" s="5"/>
      <c r="BP253" s="5"/>
      <c r="BQ253" s="43"/>
      <c r="BR253" s="43"/>
      <c r="BS253" s="43"/>
      <c r="BT253" s="44"/>
      <c r="BU253" s="43"/>
      <c r="BV253" s="5"/>
      <c r="BW253" s="43"/>
      <c r="BX253" s="43"/>
      <c r="BY253" s="43"/>
      <c r="BZ253" s="44"/>
      <c r="CA253" s="43"/>
      <c r="CB253" s="5"/>
      <c r="CC253" s="45"/>
      <c r="CD253" s="45"/>
      <c r="CE253" s="45"/>
      <c r="CF253" s="46"/>
      <c r="CG253" s="45"/>
      <c r="CH253" s="5"/>
      <c r="CI253" s="44"/>
      <c r="CJ253" s="44"/>
      <c r="CK253" s="44"/>
      <c r="CL253" s="44"/>
      <c r="CM253" s="44"/>
      <c r="CN253" s="47"/>
      <c r="CO253" s="5"/>
      <c r="CP253" s="47"/>
      <c r="CQ253" s="47"/>
      <c r="CR253" s="47"/>
      <c r="CS253" s="47"/>
      <c r="CT253" s="47"/>
      <c r="CU253" s="47"/>
    </row>
    <row r="254" spans="1:99" ht="15" customHeight="1">
      <c r="A254" s="69"/>
      <c r="B254" s="70" t="s">
        <v>414</v>
      </c>
      <c r="C254" s="71" t="s">
        <v>252</v>
      </c>
      <c r="D254" s="70" t="s">
        <v>253</v>
      </c>
      <c r="E254" s="72">
        <v>42643</v>
      </c>
      <c r="F254" s="72"/>
      <c r="G254" s="73">
        <v>1418993</v>
      </c>
      <c r="H254" s="70" t="s">
        <v>415</v>
      </c>
      <c r="I254" s="73">
        <v>1418993</v>
      </c>
      <c r="J254" s="73">
        <v>315890</v>
      </c>
      <c r="K254" s="73">
        <v>306141</v>
      </c>
      <c r="L254" s="73">
        <v>0</v>
      </c>
      <c r="M254" s="73">
        <v>0</v>
      </c>
      <c r="N254" s="73">
        <v>0</v>
      </c>
      <c r="O254" s="73">
        <v>5340015</v>
      </c>
      <c r="P254" s="73">
        <f>O254+N254+M254+L254</f>
        <v>5340015</v>
      </c>
      <c r="Q254" s="73">
        <v>5319462</v>
      </c>
      <c r="R254" s="73">
        <v>42072</v>
      </c>
      <c r="S254" s="74"/>
      <c r="T254" s="74"/>
      <c r="U254" s="74"/>
      <c r="V254" s="74"/>
      <c r="W254" s="74"/>
      <c r="X254" s="74"/>
      <c r="Y254" s="74"/>
      <c r="Z254" s="74"/>
      <c r="AA254" s="74"/>
      <c r="AB254" s="74"/>
      <c r="AC254" s="74"/>
      <c r="AD254" s="74"/>
      <c r="AE254" s="74"/>
      <c r="AF254" s="74"/>
      <c r="AG254" s="74"/>
      <c r="AH254" s="74"/>
      <c r="AI254" s="74"/>
      <c r="AJ254" s="75"/>
      <c r="AK254" s="77"/>
      <c r="AL254" s="77"/>
      <c r="AM254" s="77"/>
      <c r="AN254" s="77"/>
      <c r="AO254" s="77"/>
      <c r="AP254" s="77"/>
      <c r="AQ254" s="74"/>
      <c r="AR254" s="74"/>
      <c r="AS254" s="74"/>
      <c r="AT254" s="74"/>
      <c r="AU254" s="74"/>
      <c r="AV254" s="74"/>
      <c r="AW254" s="74"/>
      <c r="AX254" s="74"/>
      <c r="AY254" s="74"/>
      <c r="AZ254" s="74"/>
      <c r="BA254" s="74"/>
      <c r="BB254" s="74"/>
      <c r="BC254" s="74"/>
      <c r="BD254" s="74"/>
      <c r="BE254" s="78">
        <f t="shared" si="229"/>
        <v>0</v>
      </c>
      <c r="BF254" s="20" t="e">
        <f t="shared" si="230"/>
        <v>#DIV/0!</v>
      </c>
      <c r="BG254" s="29">
        <f t="shared" si="231"/>
        <v>0</v>
      </c>
      <c r="BH254" s="20"/>
      <c r="BI254" s="20"/>
      <c r="BJ254" s="5"/>
      <c r="BK254" s="5"/>
      <c r="BL254" s="5"/>
      <c r="BM254" s="5"/>
      <c r="BN254" s="5"/>
      <c r="BO254" s="5"/>
      <c r="BP254" s="5"/>
      <c r="BQ254" s="43"/>
      <c r="BR254" s="43"/>
      <c r="BS254" s="43"/>
      <c r="BT254" s="44"/>
      <c r="BU254" s="43"/>
      <c r="BV254" s="5"/>
      <c r="BW254" s="43"/>
      <c r="BX254" s="43"/>
      <c r="BY254" s="43"/>
      <c r="BZ254" s="44"/>
      <c r="CA254" s="43"/>
      <c r="CB254" s="5"/>
      <c r="CC254" s="45"/>
      <c r="CD254" s="45"/>
      <c r="CE254" s="45"/>
      <c r="CF254" s="46"/>
      <c r="CG254" s="45"/>
      <c r="CH254" s="5"/>
      <c r="CI254" s="44"/>
      <c r="CJ254" s="44"/>
      <c r="CK254" s="44"/>
      <c r="CL254" s="44"/>
      <c r="CM254" s="44"/>
      <c r="CN254" s="47"/>
      <c r="CO254" s="5"/>
      <c r="CP254" s="47"/>
      <c r="CQ254" s="47"/>
      <c r="CR254" s="47"/>
      <c r="CS254" s="47"/>
      <c r="CT254" s="47"/>
      <c r="CU254" s="47"/>
    </row>
    <row r="255" spans="1:99" ht="15" customHeight="1">
      <c r="A255" s="69"/>
      <c r="B255" s="86" t="s">
        <v>416</v>
      </c>
      <c r="C255" s="71" t="s">
        <v>252</v>
      </c>
      <c r="D255" s="86" t="s">
        <v>253</v>
      </c>
      <c r="E255" s="87">
        <v>42551</v>
      </c>
      <c r="F255" s="87"/>
      <c r="G255" s="88">
        <v>3920831</v>
      </c>
      <c r="H255" s="88">
        <v>0</v>
      </c>
      <c r="I255" s="88">
        <v>3920831</v>
      </c>
      <c r="J255" s="88">
        <v>2390626</v>
      </c>
      <c r="K255" s="88">
        <v>616928</v>
      </c>
      <c r="L255" s="88">
        <v>1089999</v>
      </c>
      <c r="M255" s="88">
        <v>0</v>
      </c>
      <c r="N255" s="88">
        <v>0</v>
      </c>
      <c r="O255" s="88">
        <v>0</v>
      </c>
      <c r="P255" s="88">
        <f>O255+N255+M255+L255</f>
        <v>1089999</v>
      </c>
      <c r="Q255" s="88">
        <v>837799</v>
      </c>
      <c r="R255" s="88">
        <v>252200</v>
      </c>
      <c r="S255" s="89">
        <v>1096907</v>
      </c>
      <c r="T255" s="89">
        <v>825757</v>
      </c>
      <c r="U255" s="89">
        <v>0</v>
      </c>
      <c r="V255" s="89">
        <v>0</v>
      </c>
      <c r="W255" s="89">
        <v>98371</v>
      </c>
      <c r="X255" s="89"/>
      <c r="Y255" s="89"/>
      <c r="Z255" s="89"/>
      <c r="AA255" s="89"/>
      <c r="AB255" s="89"/>
      <c r="AC255" s="89"/>
      <c r="AD255" s="89"/>
      <c r="AE255" s="89"/>
      <c r="AF255" s="89"/>
      <c r="AG255" s="89"/>
      <c r="AH255" s="89"/>
      <c r="AI255" s="89"/>
      <c r="AJ255" s="90"/>
      <c r="AK255" s="91"/>
      <c r="AL255" s="91"/>
      <c r="AM255" s="91"/>
      <c r="AN255" s="91"/>
      <c r="AO255" s="91"/>
      <c r="AP255" s="91"/>
      <c r="AQ255" s="89"/>
      <c r="AR255" s="89"/>
      <c r="AS255" s="89">
        <v>19414</v>
      </c>
      <c r="AT255" s="89">
        <v>0</v>
      </c>
      <c r="AU255" s="89">
        <v>0</v>
      </c>
      <c r="AV255" s="89">
        <v>0</v>
      </c>
      <c r="AW255" s="89">
        <v>541148</v>
      </c>
      <c r="AX255" s="89">
        <f>AS255+AT255+AU255+AV255+AW255</f>
        <v>560562</v>
      </c>
      <c r="AY255" s="89">
        <v>19414</v>
      </c>
      <c r="AZ255" s="89">
        <v>0</v>
      </c>
      <c r="BA255" s="89">
        <v>0</v>
      </c>
      <c r="BB255" s="89">
        <v>0</v>
      </c>
      <c r="BC255" s="89">
        <v>541148</v>
      </c>
      <c r="BD255" s="89">
        <f>AY255+AZ255+BA255+BB255+BC255</f>
        <v>560562</v>
      </c>
      <c r="BE255" s="78">
        <f t="shared" si="229"/>
        <v>0</v>
      </c>
      <c r="BF255" s="29">
        <f t="shared" si="230"/>
        <v>0.67884619809459679</v>
      </c>
      <c r="BG255" s="29">
        <f t="shared" si="231"/>
        <v>0</v>
      </c>
      <c r="BH255" s="20"/>
      <c r="BI255" s="20"/>
      <c r="BJ255" s="5"/>
      <c r="BK255" s="5"/>
      <c r="BL255" s="5"/>
      <c r="BM255" s="5"/>
      <c r="BN255" s="5"/>
      <c r="BO255" s="5"/>
      <c r="BP255" s="5"/>
      <c r="BQ255" s="43"/>
      <c r="BR255" s="43"/>
      <c r="BS255" s="43"/>
      <c r="BT255" s="44"/>
      <c r="BU255" s="43"/>
      <c r="BV255" s="5"/>
      <c r="BW255" s="43"/>
      <c r="BX255" s="43"/>
      <c r="BY255" s="43"/>
      <c r="BZ255" s="44"/>
      <c r="CA255" s="43"/>
      <c r="CB255" s="5"/>
      <c r="CC255" s="45"/>
      <c r="CD255" s="45"/>
      <c r="CE255" s="45"/>
      <c r="CF255" s="46"/>
      <c r="CG255" s="45"/>
      <c r="CH255" s="5"/>
      <c r="CI255" s="44"/>
      <c r="CJ255" s="44"/>
      <c r="CK255" s="44"/>
      <c r="CL255" s="44"/>
      <c r="CM255" s="44"/>
      <c r="CN255" s="47"/>
      <c r="CO255" s="5"/>
      <c r="CP255" s="47"/>
      <c r="CQ255" s="47"/>
      <c r="CR255" s="47"/>
      <c r="CS255" s="47"/>
      <c r="CT255" s="47"/>
      <c r="CU255" s="47"/>
    </row>
    <row r="256" spans="1:99" ht="15" customHeight="1">
      <c r="A256" s="5"/>
      <c r="B256" s="37" t="s">
        <v>417</v>
      </c>
      <c r="C256" s="37" t="s">
        <v>252</v>
      </c>
      <c r="D256" s="37" t="s">
        <v>253</v>
      </c>
      <c r="E256" s="26">
        <v>42551</v>
      </c>
      <c r="F256" s="26"/>
      <c r="G256" s="4">
        <v>14196146</v>
      </c>
      <c r="H256" s="4">
        <v>8539596</v>
      </c>
      <c r="I256" s="4">
        <v>14196146</v>
      </c>
      <c r="J256" s="4">
        <v>5656550</v>
      </c>
      <c r="K256" s="4">
        <v>5656550</v>
      </c>
      <c r="L256" s="4">
        <v>6336165</v>
      </c>
      <c r="M256" s="4">
        <v>375424</v>
      </c>
      <c r="N256" s="4">
        <f>172161+447758+241+31291</f>
        <v>651451</v>
      </c>
      <c r="O256" s="4">
        <v>5309290</v>
      </c>
      <c r="P256" s="4">
        <f>O256+N256+M256+L256</f>
        <v>12672330</v>
      </c>
      <c r="Q256" s="4">
        <v>6419201</v>
      </c>
      <c r="R256" s="4">
        <v>-83036</v>
      </c>
      <c r="S256" s="27"/>
      <c r="T256" s="27"/>
      <c r="U256" s="27"/>
      <c r="V256" s="27"/>
      <c r="W256" s="27"/>
      <c r="X256" s="27"/>
      <c r="Y256" s="27"/>
      <c r="Z256" s="27"/>
      <c r="AA256" s="27"/>
      <c r="AB256" s="27"/>
      <c r="AC256" s="27"/>
      <c r="AD256" s="27"/>
      <c r="AE256" s="27"/>
      <c r="AF256" s="27"/>
      <c r="AG256" s="27"/>
      <c r="AH256" s="27"/>
      <c r="AI256" s="27"/>
      <c r="AJ256" s="28"/>
      <c r="AK256" s="20"/>
      <c r="AL256" s="20"/>
      <c r="AM256" s="20"/>
      <c r="AN256" s="20"/>
      <c r="AO256" s="20"/>
      <c r="AP256" s="20"/>
      <c r="AQ256" s="27"/>
      <c r="AR256" s="27"/>
      <c r="AS256" s="27"/>
      <c r="AT256" s="27"/>
      <c r="AU256" s="27"/>
      <c r="AV256" s="27"/>
      <c r="AW256" s="27"/>
      <c r="AX256" s="27"/>
      <c r="AY256" s="27"/>
      <c r="AZ256" s="27"/>
      <c r="BA256" s="27"/>
      <c r="BB256" s="27"/>
      <c r="BC256" s="27"/>
      <c r="BD256" s="27"/>
      <c r="BE256" s="29">
        <f t="shared" si="229"/>
        <v>0</v>
      </c>
      <c r="BF256" s="20" t="e">
        <f t="shared" si="230"/>
        <v>#DIV/0!</v>
      </c>
      <c r="BG256" s="29">
        <f t="shared" si="231"/>
        <v>0</v>
      </c>
      <c r="BH256" s="20"/>
      <c r="BI256" s="20"/>
      <c r="BJ256" s="5"/>
      <c r="BK256" s="5"/>
      <c r="BL256" s="5"/>
      <c r="BM256" s="5"/>
      <c r="BN256" s="5"/>
      <c r="BO256" s="5"/>
      <c r="BP256" s="5"/>
      <c r="BQ256" s="43"/>
      <c r="BR256" s="43"/>
      <c r="BS256" s="43"/>
      <c r="BT256" s="44"/>
      <c r="BU256" s="43"/>
      <c r="BV256" s="5"/>
      <c r="BW256" s="43"/>
      <c r="BX256" s="43"/>
      <c r="BY256" s="43"/>
      <c r="BZ256" s="44"/>
      <c r="CA256" s="43"/>
      <c r="CB256" s="5"/>
      <c r="CC256" s="45"/>
      <c r="CD256" s="45"/>
      <c r="CE256" s="45"/>
      <c r="CF256" s="46"/>
      <c r="CG256" s="45"/>
      <c r="CH256" s="5"/>
      <c r="CI256" s="44"/>
      <c r="CJ256" s="44"/>
      <c r="CK256" s="44"/>
      <c r="CL256" s="44"/>
      <c r="CM256" s="44"/>
      <c r="CN256" s="47"/>
      <c r="CO256" s="5"/>
      <c r="CP256" s="47"/>
      <c r="CQ256" s="47"/>
      <c r="CR256" s="47"/>
      <c r="CS256" s="47"/>
      <c r="CT256" s="47"/>
      <c r="CU256" s="47"/>
    </row>
    <row r="257" spans="1:99" ht="15" customHeight="1">
      <c r="A257" s="5"/>
      <c r="B257" s="37" t="s">
        <v>418</v>
      </c>
      <c r="C257" s="37" t="s">
        <v>252</v>
      </c>
      <c r="D257" s="37" t="s">
        <v>253</v>
      </c>
      <c r="E257" s="26">
        <v>42551</v>
      </c>
      <c r="F257" s="26"/>
      <c r="G257" s="4">
        <f>330525-87195</f>
        <v>243330</v>
      </c>
      <c r="H257" s="4">
        <v>244028</v>
      </c>
      <c r="I257" s="4">
        <v>330525</v>
      </c>
      <c r="J257" s="4">
        <v>52586</v>
      </c>
      <c r="K257" s="4">
        <v>-34609</v>
      </c>
      <c r="L257" s="4">
        <v>0</v>
      </c>
      <c r="M257" s="4">
        <v>0</v>
      </c>
      <c r="N257" s="4">
        <v>252381</v>
      </c>
      <c r="O257" s="4">
        <v>1292582</v>
      </c>
      <c r="P257" s="4">
        <f>O257+N257+M257+L257</f>
        <v>1544963</v>
      </c>
      <c r="Q257" s="4">
        <v>1604561</v>
      </c>
      <c r="R257" s="4">
        <v>-60598</v>
      </c>
      <c r="S257" s="27">
        <v>154963</v>
      </c>
      <c r="T257" s="27">
        <v>1582171</v>
      </c>
      <c r="U257" s="27">
        <v>1543963</v>
      </c>
      <c r="V257" s="27">
        <v>1582171</v>
      </c>
      <c r="W257" s="27">
        <v>-38208</v>
      </c>
      <c r="X257" s="27"/>
      <c r="Y257" s="27"/>
      <c r="Z257" s="27"/>
      <c r="AA257" s="27"/>
      <c r="AB257" s="27"/>
      <c r="AC257" s="27"/>
      <c r="AD257" s="27"/>
      <c r="AE257" s="27"/>
      <c r="AF257" s="27"/>
      <c r="AG257" s="27"/>
      <c r="AH257" s="27"/>
      <c r="AI257" s="27"/>
      <c r="AJ257" s="28"/>
      <c r="AK257" s="20"/>
      <c r="AL257" s="20"/>
      <c r="AM257" s="20"/>
      <c r="AN257" s="20"/>
      <c r="AO257" s="20"/>
      <c r="AP257" s="20"/>
      <c r="AQ257" s="27"/>
      <c r="AR257" s="27"/>
      <c r="AS257" s="27">
        <v>0</v>
      </c>
      <c r="AT257" s="27">
        <v>0</v>
      </c>
      <c r="AU257" s="27">
        <v>0</v>
      </c>
      <c r="AV257" s="27">
        <v>0</v>
      </c>
      <c r="AW257" s="27">
        <v>-90698</v>
      </c>
      <c r="AX257" s="27">
        <f>AS257+AT257+AU257+AV257+AW257</f>
        <v>-90698</v>
      </c>
      <c r="AY257" s="27">
        <v>0</v>
      </c>
      <c r="AZ257" s="27">
        <v>0</v>
      </c>
      <c r="BA257" s="27">
        <v>90000</v>
      </c>
      <c r="BB257" s="27">
        <v>0</v>
      </c>
      <c r="BC257" s="27">
        <v>-90698</v>
      </c>
      <c r="BD257" s="27">
        <f>AY257+AZ257+BA257+BB257+BC257</f>
        <v>-698</v>
      </c>
      <c r="BE257" s="29">
        <f t="shared" si="229"/>
        <v>0</v>
      </c>
      <c r="BF257" s="29">
        <f t="shared" si="230"/>
        <v>-5.7325029974636114E-2</v>
      </c>
      <c r="BG257" s="29">
        <f t="shared" si="231"/>
        <v>0</v>
      </c>
      <c r="BH257" s="20"/>
      <c r="BI257" s="20"/>
      <c r="BJ257" s="5"/>
      <c r="BK257" s="5"/>
      <c r="BL257" s="5"/>
      <c r="BM257" s="5"/>
      <c r="BN257" s="5"/>
      <c r="BO257" s="5"/>
      <c r="BP257" s="5"/>
      <c r="BQ257" s="43"/>
      <c r="BR257" s="43"/>
      <c r="BS257" s="43"/>
      <c r="BT257" s="44"/>
      <c r="BU257" s="43"/>
      <c r="BV257" s="5"/>
      <c r="BW257" s="43"/>
      <c r="BX257" s="43"/>
      <c r="BY257" s="43"/>
      <c r="BZ257" s="44"/>
      <c r="CA257" s="43"/>
      <c r="CB257" s="5"/>
      <c r="CC257" s="45"/>
      <c r="CD257" s="45"/>
      <c r="CE257" s="45"/>
      <c r="CF257" s="46"/>
      <c r="CG257" s="45"/>
      <c r="CH257" s="5"/>
      <c r="CI257" s="44"/>
      <c r="CJ257" s="44"/>
      <c r="CK257" s="44"/>
      <c r="CL257" s="44"/>
      <c r="CM257" s="44"/>
      <c r="CN257" s="47"/>
      <c r="CO257" s="5"/>
      <c r="CP257" s="47"/>
      <c r="CQ257" s="47"/>
      <c r="CR257" s="47"/>
      <c r="CS257" s="47"/>
      <c r="CT257" s="47"/>
      <c r="CU257" s="47"/>
    </row>
    <row r="258" spans="1:99" ht="15" customHeight="1">
      <c r="A258" s="5"/>
      <c r="B258" s="37" t="s">
        <v>419</v>
      </c>
      <c r="C258" s="37" t="s">
        <v>252</v>
      </c>
      <c r="D258" s="37" t="s">
        <v>253</v>
      </c>
      <c r="E258" s="26">
        <v>42551</v>
      </c>
      <c r="F258" s="26"/>
      <c r="G258" s="4">
        <f>120135-61136</f>
        <v>58999</v>
      </c>
      <c r="H258" s="4">
        <v>29732</v>
      </c>
      <c r="I258" s="4">
        <v>120135</v>
      </c>
      <c r="J258" s="4">
        <v>90403</v>
      </c>
      <c r="K258" s="4">
        <v>-25828</v>
      </c>
      <c r="L258" s="4">
        <v>141308</v>
      </c>
      <c r="M258" s="4">
        <v>0</v>
      </c>
      <c r="N258" s="4">
        <v>0</v>
      </c>
      <c r="O258" s="4">
        <v>0</v>
      </c>
      <c r="P258" s="4">
        <f>O258+N258+M258+L258</f>
        <v>141308</v>
      </c>
      <c r="Q258" s="4">
        <v>167199</v>
      </c>
      <c r="R258" s="4">
        <v>5456</v>
      </c>
      <c r="S258" s="27">
        <v>141308</v>
      </c>
      <c r="T258" s="27">
        <v>157341</v>
      </c>
      <c r="U258" s="27">
        <v>172655</v>
      </c>
      <c r="V258" s="27">
        <v>164971</v>
      </c>
      <c r="W258" s="27">
        <v>-5609</v>
      </c>
      <c r="X258" s="27"/>
      <c r="Y258" s="27"/>
      <c r="Z258" s="27"/>
      <c r="AA258" s="27"/>
      <c r="AB258" s="27"/>
      <c r="AC258" s="27"/>
      <c r="AD258" s="27"/>
      <c r="AE258" s="27"/>
      <c r="AF258" s="27"/>
      <c r="AG258" s="27"/>
      <c r="AH258" s="27"/>
      <c r="AI258" s="27"/>
      <c r="AJ258" s="28"/>
      <c r="AK258" s="20"/>
      <c r="AL258" s="20"/>
      <c r="AM258" s="20"/>
      <c r="AN258" s="20"/>
      <c r="AO258" s="20"/>
      <c r="AP258" s="20"/>
      <c r="AQ258" s="27"/>
      <c r="AR258" s="27"/>
      <c r="AS258" s="27">
        <v>11958</v>
      </c>
      <c r="AT258" s="27">
        <v>0</v>
      </c>
      <c r="AU258" s="27">
        <v>0</v>
      </c>
      <c r="AV258" s="27">
        <v>0</v>
      </c>
      <c r="AW258" s="27">
        <v>-25828</v>
      </c>
      <c r="AX258" s="27">
        <f>AS258+AT258+AU258+AV258+AW258</f>
        <v>-13870</v>
      </c>
      <c r="AY258" s="27">
        <v>11958</v>
      </c>
      <c r="AZ258" s="27">
        <v>0</v>
      </c>
      <c r="BA258" s="27">
        <v>43137</v>
      </c>
      <c r="BB258" s="27">
        <v>0</v>
      </c>
      <c r="BC258" s="27">
        <v>-25828</v>
      </c>
      <c r="BD258" s="27">
        <f>AY258+AZ258+BA258+BB258+BC258</f>
        <v>29267</v>
      </c>
      <c r="BE258" s="29">
        <f t="shared" si="229"/>
        <v>0</v>
      </c>
      <c r="BF258" s="29">
        <f t="shared" si="230"/>
        <v>-8.815248409505469E-2</v>
      </c>
      <c r="BG258" s="29">
        <f t="shared" si="231"/>
        <v>0</v>
      </c>
      <c r="BH258" s="20"/>
      <c r="BI258" s="20"/>
      <c r="BJ258" s="5"/>
      <c r="BK258" s="5"/>
      <c r="BL258" s="5"/>
      <c r="BM258" s="5"/>
      <c r="BN258" s="5"/>
      <c r="BO258" s="5"/>
      <c r="BP258" s="5"/>
      <c r="BQ258" s="43"/>
      <c r="BR258" s="43"/>
      <c r="BS258" s="43"/>
      <c r="BT258" s="44"/>
      <c r="BU258" s="43"/>
      <c r="BV258" s="5"/>
      <c r="BW258" s="43"/>
      <c r="BX258" s="43"/>
      <c r="BY258" s="43"/>
      <c r="BZ258" s="44"/>
      <c r="CA258" s="43"/>
      <c r="CB258" s="5"/>
      <c r="CC258" s="45"/>
      <c r="CD258" s="45"/>
      <c r="CE258" s="45"/>
      <c r="CF258" s="46"/>
      <c r="CG258" s="45"/>
      <c r="CH258" s="5"/>
      <c r="CI258" s="44"/>
      <c r="CJ258" s="44"/>
      <c r="CK258" s="44"/>
      <c r="CL258" s="44"/>
      <c r="CM258" s="44"/>
      <c r="CN258" s="47"/>
      <c r="CO258" s="5"/>
      <c r="CP258" s="47"/>
      <c r="CQ258" s="47"/>
      <c r="CR258" s="47"/>
      <c r="CS258" s="47"/>
      <c r="CT258" s="47"/>
      <c r="CU258" s="47"/>
    </row>
    <row r="259" spans="1:99" ht="15" customHeight="1">
      <c r="A259" s="5"/>
      <c r="B259" s="37" t="s">
        <v>420</v>
      </c>
      <c r="C259" s="37" t="s">
        <v>252</v>
      </c>
      <c r="D259" s="37" t="s">
        <v>253</v>
      </c>
      <c r="E259" s="26">
        <v>42551</v>
      </c>
      <c r="F259" s="26"/>
      <c r="G259" s="4">
        <v>674113</v>
      </c>
      <c r="H259" s="4">
        <v>203111</v>
      </c>
      <c r="I259" s="4">
        <v>1833748</v>
      </c>
      <c r="J259" s="4">
        <v>1198726</v>
      </c>
      <c r="K259" s="4">
        <v>177519</v>
      </c>
      <c r="L259" s="4"/>
      <c r="M259" s="4"/>
      <c r="N259" s="4"/>
      <c r="O259" s="4"/>
      <c r="P259" s="4"/>
      <c r="Q259" s="4"/>
      <c r="R259" s="4"/>
      <c r="S259" s="27"/>
      <c r="T259" s="27"/>
      <c r="U259" s="27"/>
      <c r="V259" s="27"/>
      <c r="W259" s="27"/>
      <c r="X259" s="27">
        <v>36359</v>
      </c>
      <c r="Y259" s="27">
        <v>0</v>
      </c>
      <c r="Z259" s="27">
        <v>0</v>
      </c>
      <c r="AA259" s="27">
        <v>0</v>
      </c>
      <c r="AB259" s="27">
        <v>149855</v>
      </c>
      <c r="AC259" s="27"/>
      <c r="AD259" s="27"/>
      <c r="AE259" s="27"/>
      <c r="AF259" s="27"/>
      <c r="AG259" s="27"/>
      <c r="AH259" s="27"/>
      <c r="AI259" s="27"/>
      <c r="AJ259" s="28"/>
      <c r="AK259" s="20"/>
      <c r="AL259" s="20"/>
      <c r="AM259" s="20"/>
      <c r="AN259" s="20"/>
      <c r="AO259" s="29">
        <v>0.08</v>
      </c>
      <c r="AP259" s="29">
        <v>3.2500000000000001E-2</v>
      </c>
      <c r="AQ259" s="27">
        <v>62087</v>
      </c>
      <c r="AR259" s="27">
        <v>62087</v>
      </c>
      <c r="AS259" s="27"/>
      <c r="AT259" s="27"/>
      <c r="AU259" s="27"/>
      <c r="AV259" s="27"/>
      <c r="AW259" s="27"/>
      <c r="AX259" s="27"/>
      <c r="AY259" s="27"/>
      <c r="AZ259" s="27"/>
      <c r="BA259" s="27"/>
      <c r="BB259" s="27"/>
      <c r="BC259" s="27"/>
      <c r="BD259" s="27"/>
      <c r="BE259" s="20" t="e">
        <f t="shared" si="229"/>
        <v>#DIV/0!</v>
      </c>
      <c r="BF259" s="20" t="e">
        <f t="shared" si="230"/>
        <v>#DIV/0!</v>
      </c>
      <c r="BG259" s="20" t="e">
        <f t="shared" si="231"/>
        <v>#DIV/0!</v>
      </c>
      <c r="BH259" s="20"/>
      <c r="BI259" s="20"/>
      <c r="BJ259" s="5"/>
      <c r="BK259" s="5"/>
      <c r="BL259" s="5"/>
      <c r="BM259" s="5"/>
      <c r="BN259" s="5"/>
      <c r="BO259" s="5"/>
      <c r="BP259" s="5"/>
      <c r="BQ259" s="43"/>
      <c r="BR259" s="43"/>
      <c r="BS259" s="43"/>
      <c r="BT259" s="44"/>
      <c r="BU259" s="43"/>
      <c r="BV259" s="5"/>
      <c r="BW259" s="43"/>
      <c r="BX259" s="43"/>
      <c r="BY259" s="43"/>
      <c r="BZ259" s="44"/>
      <c r="CA259" s="43"/>
      <c r="CB259" s="5"/>
      <c r="CC259" s="45"/>
      <c r="CD259" s="45"/>
      <c r="CE259" s="45"/>
      <c r="CF259" s="46"/>
      <c r="CG259" s="45"/>
      <c r="CH259" s="5"/>
      <c r="CI259" s="44"/>
      <c r="CJ259" s="44"/>
      <c r="CK259" s="44"/>
      <c r="CL259" s="44"/>
      <c r="CM259" s="44"/>
      <c r="CN259" s="47"/>
      <c r="CO259" s="5"/>
      <c r="CP259" s="47"/>
      <c r="CQ259" s="47"/>
      <c r="CR259" s="47"/>
      <c r="CS259" s="47"/>
      <c r="CT259" s="47"/>
      <c r="CU259" s="47"/>
    </row>
    <row r="260" spans="1:99" ht="15" customHeight="1">
      <c r="A260" s="5"/>
      <c r="B260" s="37" t="s">
        <v>421</v>
      </c>
      <c r="C260" s="37" t="s">
        <v>252</v>
      </c>
      <c r="D260" s="37" t="s">
        <v>253</v>
      </c>
      <c r="E260" s="26">
        <v>42551</v>
      </c>
      <c r="F260" s="26"/>
      <c r="G260" s="37" t="s">
        <v>422</v>
      </c>
      <c r="H260" s="4">
        <v>4751901</v>
      </c>
      <c r="I260" s="4">
        <v>192615645</v>
      </c>
      <c r="J260" s="4">
        <v>116868280</v>
      </c>
      <c r="K260" s="4">
        <v>13350902</v>
      </c>
      <c r="L260" s="4">
        <v>0</v>
      </c>
      <c r="M260" s="4">
        <v>0</v>
      </c>
      <c r="N260" s="4">
        <v>1399003</v>
      </c>
      <c r="O260" s="4">
        <v>10402599</v>
      </c>
      <c r="P260" s="4">
        <f>O260+N260+M260+L260</f>
        <v>11801602</v>
      </c>
      <c r="Q260" s="4">
        <v>7021978</v>
      </c>
      <c r="R260" s="4">
        <v>3977887</v>
      </c>
      <c r="S260" s="27"/>
      <c r="T260" s="27"/>
      <c r="U260" s="27"/>
      <c r="V260" s="27"/>
      <c r="W260" s="27"/>
      <c r="X260" s="27"/>
      <c r="Y260" s="27"/>
      <c r="Z260" s="27"/>
      <c r="AA260" s="27"/>
      <c r="AB260" s="27"/>
      <c r="AC260" s="27"/>
      <c r="AD260" s="27"/>
      <c r="AE260" s="27"/>
      <c r="AF260" s="27"/>
      <c r="AG260" s="27"/>
      <c r="AH260" s="27"/>
      <c r="AI260" s="27"/>
      <c r="AJ260" s="28"/>
      <c r="AK260" s="20"/>
      <c r="AL260" s="20"/>
      <c r="AM260" s="20"/>
      <c r="AN260" s="20"/>
      <c r="AO260" s="29">
        <v>0.08</v>
      </c>
      <c r="AP260" s="29">
        <v>3.2500000000000001E-2</v>
      </c>
      <c r="AQ260" s="27"/>
      <c r="AR260" s="27"/>
      <c r="AS260" s="27"/>
      <c r="AT260" s="27"/>
      <c r="AU260" s="27"/>
      <c r="AV260" s="27"/>
      <c r="AW260" s="27"/>
      <c r="AX260" s="27"/>
      <c r="AY260" s="27"/>
      <c r="AZ260" s="27"/>
      <c r="BA260" s="27"/>
      <c r="BB260" s="27"/>
      <c r="BC260" s="27"/>
      <c r="BD260" s="27"/>
      <c r="BE260" s="29">
        <f t="shared" si="229"/>
        <v>0</v>
      </c>
      <c r="BF260" s="20" t="e">
        <f t="shared" si="230"/>
        <v>#DIV/0!</v>
      </c>
      <c r="BG260" s="29">
        <f t="shared" si="231"/>
        <v>0</v>
      </c>
      <c r="BH260" s="20"/>
      <c r="BI260" s="20"/>
      <c r="BJ260" s="5"/>
      <c r="BK260" s="5"/>
      <c r="BL260" s="5"/>
      <c r="BM260" s="5"/>
      <c r="BN260" s="5"/>
      <c r="BO260" s="5"/>
      <c r="BP260" s="5"/>
      <c r="BQ260" s="43"/>
      <c r="BR260" s="43"/>
      <c r="BS260" s="43"/>
      <c r="BT260" s="44"/>
      <c r="BU260" s="43"/>
      <c r="BV260" s="5"/>
      <c r="BW260" s="43"/>
      <c r="BX260" s="43"/>
      <c r="BY260" s="43"/>
      <c r="BZ260" s="44"/>
      <c r="CA260" s="43"/>
      <c r="CB260" s="5"/>
      <c r="CC260" s="45"/>
      <c r="CD260" s="45"/>
      <c r="CE260" s="45"/>
      <c r="CF260" s="46"/>
      <c r="CG260" s="45"/>
      <c r="CH260" s="5"/>
      <c r="CI260" s="44"/>
      <c r="CJ260" s="44"/>
      <c r="CK260" s="44"/>
      <c r="CL260" s="44"/>
      <c r="CM260" s="44"/>
      <c r="CN260" s="47"/>
      <c r="CO260" s="5"/>
      <c r="CP260" s="47"/>
      <c r="CQ260" s="47"/>
      <c r="CR260" s="47"/>
      <c r="CS260" s="47"/>
      <c r="CT260" s="47"/>
      <c r="CU260" s="47"/>
    </row>
    <row r="261" spans="1:99" ht="15" customHeight="1">
      <c r="A261" s="5"/>
      <c r="B261" s="37" t="s">
        <v>423</v>
      </c>
      <c r="C261" s="37" t="s">
        <v>252</v>
      </c>
      <c r="D261" s="37" t="s">
        <v>253</v>
      </c>
      <c r="E261" s="26">
        <v>42551</v>
      </c>
      <c r="F261" s="26"/>
      <c r="G261" s="4">
        <v>3810177</v>
      </c>
      <c r="H261" s="4">
        <v>1588036</v>
      </c>
      <c r="I261" s="4">
        <v>23360586</v>
      </c>
      <c r="J261" s="4">
        <v>16593853</v>
      </c>
      <c r="K261" s="4">
        <v>1032643</v>
      </c>
      <c r="L261" s="4">
        <v>1296999</v>
      </c>
      <c r="M261" s="4">
        <v>0</v>
      </c>
      <c r="N261" s="4">
        <v>11197724</v>
      </c>
      <c r="O261" s="4">
        <v>0</v>
      </c>
      <c r="P261" s="4">
        <f>O261+N261+M261+L261</f>
        <v>12494723</v>
      </c>
      <c r="Q261" s="4">
        <v>11244654</v>
      </c>
      <c r="R261" s="4">
        <v>1250069</v>
      </c>
      <c r="S261" s="27">
        <v>39480</v>
      </c>
      <c r="T261" s="27">
        <v>138217</v>
      </c>
      <c r="U261" s="27">
        <v>104088</v>
      </c>
      <c r="V261" s="27">
        <v>349788</v>
      </c>
      <c r="W261" s="27">
        <v>-3262</v>
      </c>
      <c r="X261" s="27"/>
      <c r="Y261" s="27"/>
      <c r="Z261" s="27"/>
      <c r="AA261" s="27"/>
      <c r="AB261" s="27"/>
      <c r="AC261" s="27"/>
      <c r="AD261" s="27"/>
      <c r="AE261" s="27"/>
      <c r="AF261" s="27"/>
      <c r="AG261" s="27"/>
      <c r="AH261" s="27"/>
      <c r="AI261" s="27"/>
      <c r="AJ261" s="28"/>
      <c r="AK261" s="20"/>
      <c r="AL261" s="20"/>
      <c r="AM261" s="20"/>
      <c r="AN261" s="20"/>
      <c r="AO261" s="20"/>
      <c r="AP261" s="20"/>
      <c r="AQ261" s="27"/>
      <c r="AR261" s="27"/>
      <c r="AS261" s="27">
        <v>0</v>
      </c>
      <c r="AT261" s="27">
        <v>0</v>
      </c>
      <c r="AU261" s="27">
        <v>0</v>
      </c>
      <c r="AV261" s="27">
        <v>0</v>
      </c>
      <c r="AW261" s="27">
        <v>108858</v>
      </c>
      <c r="AX261" s="27">
        <f t="shared" ref="AX261:AX268" si="232">AS261+AT261+AU261+AV261+AW261</f>
        <v>108858</v>
      </c>
      <c r="AY261" s="27">
        <v>0</v>
      </c>
      <c r="AZ261" s="27">
        <v>0</v>
      </c>
      <c r="BA261" s="27">
        <v>0</v>
      </c>
      <c r="BB261" s="27">
        <v>63624</v>
      </c>
      <c r="BC261" s="27">
        <v>108858</v>
      </c>
      <c r="BD261" s="27">
        <f>AY261+AZ261+BA261+BB261+BC261</f>
        <v>172482</v>
      </c>
      <c r="BE261" s="29">
        <f t="shared" si="229"/>
        <v>0</v>
      </c>
      <c r="BF261" s="29">
        <f t="shared" si="230"/>
        <v>0.78758763393793818</v>
      </c>
      <c r="BG261" s="29">
        <f t="shared" si="231"/>
        <v>0</v>
      </c>
      <c r="BH261" s="20"/>
      <c r="BI261" s="20"/>
      <c r="BJ261" s="5"/>
      <c r="BK261" s="5"/>
      <c r="BL261" s="5"/>
      <c r="BM261" s="5"/>
      <c r="BN261" s="5"/>
      <c r="BO261" s="5"/>
      <c r="BP261" s="5"/>
      <c r="BQ261" s="43"/>
      <c r="BR261" s="43"/>
      <c r="BS261" s="43"/>
      <c r="BT261" s="44"/>
      <c r="BU261" s="43"/>
      <c r="BV261" s="5"/>
      <c r="BW261" s="43"/>
      <c r="BX261" s="43"/>
      <c r="BY261" s="43"/>
      <c r="BZ261" s="44"/>
      <c r="CA261" s="43"/>
      <c r="CB261" s="5"/>
      <c r="CC261" s="45"/>
      <c r="CD261" s="45"/>
      <c r="CE261" s="45"/>
      <c r="CF261" s="46"/>
      <c r="CG261" s="45"/>
      <c r="CH261" s="5"/>
      <c r="CI261" s="44"/>
      <c r="CJ261" s="44"/>
      <c r="CK261" s="44"/>
      <c r="CL261" s="44"/>
      <c r="CM261" s="44"/>
      <c r="CN261" s="47"/>
      <c r="CO261" s="5"/>
      <c r="CP261" s="47"/>
      <c r="CQ261" s="47"/>
      <c r="CR261" s="47"/>
      <c r="CS261" s="47"/>
      <c r="CT261" s="47"/>
      <c r="CU261" s="47"/>
    </row>
    <row r="262" spans="1:99" ht="15" customHeight="1">
      <c r="A262" s="5"/>
      <c r="B262" s="37" t="s">
        <v>424</v>
      </c>
      <c r="C262" s="37" t="s">
        <v>252</v>
      </c>
      <c r="D262" s="37" t="s">
        <v>253</v>
      </c>
      <c r="E262" s="26">
        <v>42551</v>
      </c>
      <c r="F262" s="26"/>
      <c r="G262" s="4">
        <v>646968</v>
      </c>
      <c r="H262" s="4">
        <v>60290</v>
      </c>
      <c r="I262" s="4">
        <v>2065782</v>
      </c>
      <c r="J262" s="4">
        <v>842791</v>
      </c>
      <c r="K262" s="4">
        <v>427815</v>
      </c>
      <c r="L262" s="4">
        <v>12072</v>
      </c>
      <c r="M262" s="4">
        <v>0</v>
      </c>
      <c r="N262" s="4">
        <v>1410537</v>
      </c>
      <c r="O262" s="4">
        <v>472589</v>
      </c>
      <c r="P262" s="4">
        <f>O262+N262+M262+L262</f>
        <v>1895198</v>
      </c>
      <c r="Q262" s="4">
        <v>1816609</v>
      </c>
      <c r="R262" s="4">
        <v>78589</v>
      </c>
      <c r="S262" s="27">
        <v>1895198</v>
      </c>
      <c r="T262" s="27">
        <v>1743727</v>
      </c>
      <c r="U262" s="27">
        <v>1895198</v>
      </c>
      <c r="V262" s="27">
        <v>1795670</v>
      </c>
      <c r="W262" s="27">
        <v>33588</v>
      </c>
      <c r="X262" s="27">
        <v>27162</v>
      </c>
      <c r="Y262" s="27">
        <v>0</v>
      </c>
      <c r="Z262" s="27">
        <v>0</v>
      </c>
      <c r="AA262" s="27">
        <f>AB262-X262-Y262-Z262</f>
        <v>974804</v>
      </c>
      <c r="AB262" s="27">
        <v>1001966</v>
      </c>
      <c r="AC262" s="27"/>
      <c r="AD262" s="27"/>
      <c r="AE262" s="27"/>
      <c r="AF262" s="27"/>
      <c r="AG262" s="27"/>
      <c r="AH262" s="27"/>
      <c r="AI262" s="27"/>
      <c r="AJ262" s="28"/>
      <c r="AK262" s="20"/>
      <c r="AL262" s="20"/>
      <c r="AM262" s="20"/>
      <c r="AN262" s="20"/>
      <c r="AO262" s="20"/>
      <c r="AP262" s="20"/>
      <c r="AQ262" s="27"/>
      <c r="AR262" s="27"/>
      <c r="AS262" s="27">
        <v>0</v>
      </c>
      <c r="AT262" s="27">
        <v>41381</v>
      </c>
      <c r="AU262" s="27">
        <f>32032+15000</f>
        <v>47032</v>
      </c>
      <c r="AV262" s="27">
        <v>4627</v>
      </c>
      <c r="AW262" s="27">
        <v>310216</v>
      </c>
      <c r="AX262" s="27">
        <f t="shared" si="232"/>
        <v>403256</v>
      </c>
      <c r="AY262" s="27"/>
      <c r="AZ262" s="27"/>
      <c r="BA262" s="27"/>
      <c r="BB262" s="27"/>
      <c r="BC262" s="27"/>
      <c r="BD262" s="27"/>
      <c r="BE262" s="29">
        <f t="shared" si="229"/>
        <v>0</v>
      </c>
      <c r="BF262" s="29">
        <f t="shared" si="230"/>
        <v>0.23126097147087818</v>
      </c>
      <c r="BG262" s="29">
        <f t="shared" si="231"/>
        <v>0.5286867124173833</v>
      </c>
      <c r="BH262" s="20"/>
      <c r="BI262" s="20"/>
      <c r="BJ262" s="5"/>
      <c r="BK262" s="5"/>
      <c r="BL262" s="5"/>
      <c r="BM262" s="5"/>
      <c r="BN262" s="5"/>
      <c r="BO262" s="5"/>
      <c r="BP262" s="5"/>
      <c r="BQ262" s="43"/>
      <c r="BR262" s="43"/>
      <c r="BS262" s="43"/>
      <c r="BT262" s="44"/>
      <c r="BU262" s="43"/>
      <c r="BV262" s="5"/>
      <c r="BW262" s="43"/>
      <c r="BX262" s="43"/>
      <c r="BY262" s="43"/>
      <c r="BZ262" s="44"/>
      <c r="CA262" s="43"/>
      <c r="CB262" s="5"/>
      <c r="CC262" s="45"/>
      <c r="CD262" s="45"/>
      <c r="CE262" s="45"/>
      <c r="CF262" s="46"/>
      <c r="CG262" s="45"/>
      <c r="CH262" s="5"/>
      <c r="CI262" s="44"/>
      <c r="CJ262" s="44"/>
      <c r="CK262" s="44"/>
      <c r="CL262" s="44"/>
      <c r="CM262" s="44"/>
      <c r="CN262" s="47"/>
      <c r="CO262" s="5"/>
      <c r="CP262" s="47"/>
      <c r="CQ262" s="47"/>
      <c r="CR262" s="47"/>
      <c r="CS262" s="47"/>
      <c r="CT262" s="47"/>
      <c r="CU262" s="47"/>
    </row>
    <row r="263" spans="1:99" ht="15" customHeight="1">
      <c r="A263" s="5"/>
      <c r="B263" s="37" t="s">
        <v>425</v>
      </c>
      <c r="C263" s="37" t="s">
        <v>252</v>
      </c>
      <c r="D263" s="37" t="s">
        <v>253</v>
      </c>
      <c r="E263" s="26">
        <v>42551</v>
      </c>
      <c r="F263" s="26"/>
      <c r="G263" s="4">
        <v>405683</v>
      </c>
      <c r="H263" s="4">
        <v>377714</v>
      </c>
      <c r="I263" s="4">
        <v>405683</v>
      </c>
      <c r="J263" s="4">
        <v>-1608347</v>
      </c>
      <c r="K263" s="4">
        <v>-1608347</v>
      </c>
      <c r="L263" s="4">
        <v>0</v>
      </c>
      <c r="M263" s="4">
        <v>0</v>
      </c>
      <c r="N263" s="4">
        <v>0</v>
      </c>
      <c r="O263" s="4">
        <v>0</v>
      </c>
      <c r="P263" s="4">
        <v>0</v>
      </c>
      <c r="Q263" s="4">
        <v>0</v>
      </c>
      <c r="R263" s="4">
        <v>0</v>
      </c>
      <c r="S263" s="27">
        <v>7544942</v>
      </c>
      <c r="T263" s="27">
        <v>7580684</v>
      </c>
      <c r="U263" s="27">
        <v>7544942</v>
      </c>
      <c r="V263" s="27">
        <v>7655304</v>
      </c>
      <c r="W263" s="27">
        <v>-35742</v>
      </c>
      <c r="X263" s="27">
        <v>1500</v>
      </c>
      <c r="Y263" s="27">
        <v>554130</v>
      </c>
      <c r="Z263" s="27">
        <v>1114575</v>
      </c>
      <c r="AA263" s="27">
        <f>1678374-Z263-Y263-X263</f>
        <v>8169</v>
      </c>
      <c r="AB263" s="27">
        <f t="shared" ref="AB263:AB276" si="233">X263+Y263+Z263+AA263</f>
        <v>1678374</v>
      </c>
      <c r="AC263" s="27">
        <v>1114575</v>
      </c>
      <c r="AD263" s="27">
        <v>0</v>
      </c>
      <c r="AE263" s="27">
        <f>AC263+AD263</f>
        <v>1114575</v>
      </c>
      <c r="AF263" s="27">
        <v>0</v>
      </c>
      <c r="AG263" s="27">
        <v>246568</v>
      </c>
      <c r="AH263" s="27">
        <v>38319</v>
      </c>
      <c r="AI263" s="27">
        <v>3673</v>
      </c>
      <c r="AJ263" s="28">
        <v>41821</v>
      </c>
      <c r="AK263" s="27">
        <v>0</v>
      </c>
      <c r="AL263" s="27">
        <v>211748</v>
      </c>
      <c r="AM263" s="27">
        <f>AK263-AL263</f>
        <v>-211748</v>
      </c>
      <c r="AN263" s="92">
        <f>AK263/AL263</f>
        <v>0</v>
      </c>
      <c r="AO263" s="29">
        <v>0.04</v>
      </c>
      <c r="AP263" s="29">
        <v>0.04</v>
      </c>
      <c r="AQ263" s="27">
        <v>101077</v>
      </c>
      <c r="AR263" s="27">
        <v>101077</v>
      </c>
      <c r="AS263" s="27">
        <v>0</v>
      </c>
      <c r="AT263" s="27">
        <v>0</v>
      </c>
      <c r="AU263" s="27">
        <v>0</v>
      </c>
      <c r="AV263" s="27">
        <v>0</v>
      </c>
      <c r="AW263" s="27">
        <v>27969</v>
      </c>
      <c r="AX263" s="27">
        <f t="shared" si="232"/>
        <v>27969</v>
      </c>
      <c r="AY263" s="27">
        <v>0</v>
      </c>
      <c r="AZ263" s="27">
        <v>0</v>
      </c>
      <c r="BA263" s="27">
        <v>0</v>
      </c>
      <c r="BB263" s="27">
        <v>0</v>
      </c>
      <c r="BC263" s="27">
        <v>27969</v>
      </c>
      <c r="BD263" s="27">
        <f t="shared" ref="BD263:BD283" si="234">AY263+AZ263+BA263+BB263+BC263</f>
        <v>27969</v>
      </c>
      <c r="BE263" s="20" t="e">
        <f t="shared" si="229"/>
        <v>#DIV/0!</v>
      </c>
      <c r="BF263" s="29">
        <f t="shared" si="230"/>
        <v>3.6895087567296037E-3</v>
      </c>
      <c r="BG263" s="20" t="e">
        <f t="shared" si="231"/>
        <v>#DIV/0!</v>
      </c>
      <c r="BH263" s="20"/>
      <c r="BI263" s="20"/>
      <c r="BJ263" s="5"/>
      <c r="BK263" s="5"/>
      <c r="BL263" s="5"/>
      <c r="BM263" s="5"/>
      <c r="BN263" s="5"/>
      <c r="BO263" s="5"/>
      <c r="BP263" s="5"/>
      <c r="BQ263" s="43"/>
      <c r="BR263" s="43"/>
      <c r="BS263" s="43"/>
      <c r="BT263" s="44"/>
      <c r="BU263" s="43"/>
      <c r="BV263" s="5"/>
      <c r="BW263" s="43"/>
      <c r="BX263" s="43"/>
      <c r="BY263" s="43"/>
      <c r="BZ263" s="44"/>
      <c r="CA263" s="43"/>
      <c r="CB263" s="5"/>
      <c r="CC263" s="45"/>
      <c r="CD263" s="45"/>
      <c r="CE263" s="45"/>
      <c r="CF263" s="46"/>
      <c r="CG263" s="45"/>
      <c r="CH263" s="5"/>
      <c r="CI263" s="44"/>
      <c r="CJ263" s="44"/>
      <c r="CK263" s="44"/>
      <c r="CL263" s="44"/>
      <c r="CM263" s="44"/>
      <c r="CN263" s="47"/>
      <c r="CO263" s="5"/>
      <c r="CP263" s="47"/>
      <c r="CQ263" s="47"/>
      <c r="CR263" s="47"/>
      <c r="CS263" s="47"/>
      <c r="CT263" s="47"/>
      <c r="CU263" s="47"/>
    </row>
    <row r="264" spans="1:99" ht="15" customHeight="1">
      <c r="A264" s="5"/>
      <c r="B264" s="37" t="s">
        <v>426</v>
      </c>
      <c r="C264" s="37" t="s">
        <v>252</v>
      </c>
      <c r="D264" s="37" t="s">
        <v>253</v>
      </c>
      <c r="E264" s="26">
        <v>42551</v>
      </c>
      <c r="F264" s="26"/>
      <c r="G264" s="4">
        <f>714383+263115+197276+33060</f>
        <v>1207834</v>
      </c>
      <c r="H264" s="4">
        <v>167037</v>
      </c>
      <c r="I264" s="4">
        <v>2427040</v>
      </c>
      <c r="J264" s="4">
        <v>1406036</v>
      </c>
      <c r="K264" s="4">
        <v>79995</v>
      </c>
      <c r="L264" s="4">
        <v>3559788</v>
      </c>
      <c r="M264" s="4">
        <v>0</v>
      </c>
      <c r="N264" s="4">
        <v>554072</v>
      </c>
      <c r="O264" s="4">
        <v>16000</v>
      </c>
      <c r="P264" s="4">
        <f t="shared" ref="P264:P288" si="235">SUM(L264:O264)</f>
        <v>4129860</v>
      </c>
      <c r="Q264" s="4">
        <v>3957903</v>
      </c>
      <c r="R264" s="4">
        <v>171957</v>
      </c>
      <c r="S264" s="27">
        <v>3863083</v>
      </c>
      <c r="T264" s="27">
        <v>3537901</v>
      </c>
      <c r="U264" s="27">
        <v>3863083</v>
      </c>
      <c r="V264" s="27">
        <v>3537901</v>
      </c>
      <c r="W264" s="27">
        <v>325182</v>
      </c>
      <c r="X264" s="27">
        <v>18194</v>
      </c>
      <c r="Y264" s="27">
        <v>944011</v>
      </c>
      <c r="Z264" s="27">
        <v>0</v>
      </c>
      <c r="AA264" s="27">
        <f>1085339-Y264-X264</f>
        <v>123134</v>
      </c>
      <c r="AB264" s="27">
        <f t="shared" si="233"/>
        <v>1085339</v>
      </c>
      <c r="AC264" s="27"/>
      <c r="AD264" s="27"/>
      <c r="AE264" s="27"/>
      <c r="AF264" s="27"/>
      <c r="AG264" s="27"/>
      <c r="AH264" s="27"/>
      <c r="AI264" s="27"/>
      <c r="AJ264" s="28"/>
      <c r="AK264" s="27"/>
      <c r="AL264" s="27"/>
      <c r="AM264" s="27"/>
      <c r="AN264" s="92"/>
      <c r="AO264" s="29"/>
      <c r="AP264" s="29"/>
      <c r="AQ264" s="27">
        <f t="shared" ref="AQ264:AR264" si="236">185420+231576</f>
        <v>416996</v>
      </c>
      <c r="AR264" s="27">
        <f t="shared" si="236"/>
        <v>416996</v>
      </c>
      <c r="AS264" s="27">
        <v>0</v>
      </c>
      <c r="AT264" s="27">
        <v>0</v>
      </c>
      <c r="AU264" s="27">
        <v>0</v>
      </c>
      <c r="AV264" s="27">
        <v>106834</v>
      </c>
      <c r="AW264" s="27">
        <v>677800</v>
      </c>
      <c r="AX264" s="27">
        <f t="shared" si="232"/>
        <v>784634</v>
      </c>
      <c r="AY264" s="27">
        <v>0</v>
      </c>
      <c r="AZ264" s="27">
        <v>0</v>
      </c>
      <c r="BA264" s="27">
        <v>0</v>
      </c>
      <c r="BB264" s="27">
        <v>106834</v>
      </c>
      <c r="BC264" s="27">
        <v>677800</v>
      </c>
      <c r="BD264" s="27">
        <f t="shared" si="234"/>
        <v>784634</v>
      </c>
      <c r="BE264" s="29">
        <f t="shared" si="229"/>
        <v>0.10097097722440955</v>
      </c>
      <c r="BF264" s="29">
        <f t="shared" si="230"/>
        <v>0.22177952407373749</v>
      </c>
      <c r="BG264" s="29">
        <f t="shared" si="231"/>
        <v>3.4221014755948145E-2</v>
      </c>
      <c r="BH264" s="20"/>
      <c r="BI264" s="20"/>
      <c r="BJ264" s="5"/>
      <c r="BK264" s="5"/>
      <c r="BL264" s="5"/>
      <c r="BM264" s="5"/>
      <c r="BN264" s="5"/>
      <c r="BO264" s="5"/>
      <c r="BP264" s="5"/>
      <c r="BQ264" s="43"/>
      <c r="BR264" s="43"/>
      <c r="BS264" s="43"/>
      <c r="BT264" s="44"/>
      <c r="BU264" s="43"/>
      <c r="BV264" s="5"/>
      <c r="BW264" s="43"/>
      <c r="BX264" s="43"/>
      <c r="BY264" s="43"/>
      <c r="BZ264" s="44"/>
      <c r="CA264" s="43"/>
      <c r="CB264" s="5"/>
      <c r="CC264" s="45"/>
      <c r="CD264" s="45"/>
      <c r="CE264" s="45"/>
      <c r="CF264" s="46"/>
      <c r="CG264" s="45"/>
      <c r="CH264" s="5"/>
      <c r="CI264" s="44"/>
      <c r="CJ264" s="44"/>
      <c r="CK264" s="44"/>
      <c r="CL264" s="44"/>
      <c r="CM264" s="44"/>
      <c r="CN264" s="47"/>
      <c r="CO264" s="5"/>
      <c r="CP264" s="47"/>
      <c r="CQ264" s="47"/>
      <c r="CR264" s="47"/>
      <c r="CS264" s="47"/>
      <c r="CT264" s="47"/>
      <c r="CU264" s="47"/>
    </row>
    <row r="265" spans="1:99" ht="15" customHeight="1">
      <c r="A265" s="5"/>
      <c r="B265" s="37" t="s">
        <v>427</v>
      </c>
      <c r="C265" s="37" t="s">
        <v>252</v>
      </c>
      <c r="D265" s="37" t="s">
        <v>253</v>
      </c>
      <c r="E265" s="26">
        <v>42460</v>
      </c>
      <c r="F265" s="26"/>
      <c r="G265" s="4">
        <v>607798</v>
      </c>
      <c r="H265" s="4">
        <v>229087</v>
      </c>
      <c r="I265" s="4">
        <v>1756744</v>
      </c>
      <c r="J265" s="4">
        <v>1364350</v>
      </c>
      <c r="K265" s="4">
        <v>249041</v>
      </c>
      <c r="L265" s="4">
        <v>0</v>
      </c>
      <c r="M265" s="4">
        <v>0</v>
      </c>
      <c r="N265" s="4">
        <v>0</v>
      </c>
      <c r="O265" s="4">
        <v>0</v>
      </c>
      <c r="P265" s="4">
        <f t="shared" si="235"/>
        <v>0</v>
      </c>
      <c r="Q265" s="4">
        <v>0</v>
      </c>
      <c r="R265" s="4">
        <v>0</v>
      </c>
      <c r="S265" s="27">
        <v>478571</v>
      </c>
      <c r="T265" s="27">
        <v>529938</v>
      </c>
      <c r="U265" s="27">
        <v>1744832</v>
      </c>
      <c r="V265" s="27">
        <v>1662941</v>
      </c>
      <c r="W265" s="27">
        <v>-23572</v>
      </c>
      <c r="X265" s="27">
        <v>0</v>
      </c>
      <c r="Y265" s="27">
        <v>110258</v>
      </c>
      <c r="Z265" s="27">
        <v>0</v>
      </c>
      <c r="AA265" s="27">
        <f>157917-Y265</f>
        <v>47659</v>
      </c>
      <c r="AB265" s="27">
        <f t="shared" si="233"/>
        <v>157917</v>
      </c>
      <c r="AC265" s="27"/>
      <c r="AD265" s="27"/>
      <c r="AE265" s="27"/>
      <c r="AF265" s="27"/>
      <c r="AG265" s="27"/>
      <c r="AH265" s="27"/>
      <c r="AI265" s="27"/>
      <c r="AJ265" s="28"/>
      <c r="AK265" s="27"/>
      <c r="AL265" s="27"/>
      <c r="AM265" s="27"/>
      <c r="AN265" s="92"/>
      <c r="AO265" s="29"/>
      <c r="AP265" s="29"/>
      <c r="AQ265" s="27">
        <v>0</v>
      </c>
      <c r="AR265" s="27">
        <v>0</v>
      </c>
      <c r="AS265" s="27">
        <v>0</v>
      </c>
      <c r="AT265" s="27">
        <v>0</v>
      </c>
      <c r="AU265" s="27">
        <v>0</v>
      </c>
      <c r="AV265" s="27">
        <v>0</v>
      </c>
      <c r="AW265" s="27">
        <v>0</v>
      </c>
      <c r="AX265" s="27">
        <f t="shared" si="232"/>
        <v>0</v>
      </c>
      <c r="AY265" s="27">
        <v>0</v>
      </c>
      <c r="AZ265" s="27">
        <v>0</v>
      </c>
      <c r="BA265" s="27">
        <v>0</v>
      </c>
      <c r="BB265" s="27">
        <v>0</v>
      </c>
      <c r="BC265" s="27">
        <v>0</v>
      </c>
      <c r="BD265" s="27">
        <f t="shared" si="234"/>
        <v>0</v>
      </c>
      <c r="BE265" s="20" t="e">
        <f t="shared" si="229"/>
        <v>#DIV/0!</v>
      </c>
      <c r="BF265" s="29">
        <f t="shared" si="230"/>
        <v>0</v>
      </c>
      <c r="BG265" s="20" t="e">
        <f t="shared" si="231"/>
        <v>#DIV/0!</v>
      </c>
      <c r="BH265" s="20"/>
      <c r="BI265" s="20"/>
      <c r="BJ265" s="5"/>
      <c r="BK265" s="5"/>
      <c r="BL265" s="5"/>
      <c r="BM265" s="5"/>
      <c r="BN265" s="5"/>
      <c r="BO265" s="5"/>
      <c r="BP265" s="5"/>
      <c r="BQ265" s="43"/>
      <c r="BR265" s="43"/>
      <c r="BS265" s="43"/>
      <c r="BT265" s="44"/>
      <c r="BU265" s="43"/>
      <c r="BV265" s="5"/>
      <c r="BW265" s="43"/>
      <c r="BX265" s="43"/>
      <c r="BY265" s="43"/>
      <c r="BZ265" s="44"/>
      <c r="CA265" s="43"/>
      <c r="CB265" s="5"/>
      <c r="CC265" s="45"/>
      <c r="CD265" s="45"/>
      <c r="CE265" s="45"/>
      <c r="CF265" s="46"/>
      <c r="CG265" s="45"/>
      <c r="CH265" s="5"/>
      <c r="CI265" s="44"/>
      <c r="CJ265" s="44"/>
      <c r="CK265" s="44"/>
      <c r="CL265" s="44"/>
      <c r="CM265" s="44"/>
      <c r="CN265" s="47"/>
      <c r="CO265" s="5"/>
      <c r="CP265" s="47"/>
      <c r="CQ265" s="47"/>
      <c r="CR265" s="47"/>
      <c r="CS265" s="47"/>
      <c r="CT265" s="47"/>
      <c r="CU265" s="47"/>
    </row>
    <row r="266" spans="1:99" ht="15" customHeight="1">
      <c r="A266" s="5"/>
      <c r="B266" s="37" t="s">
        <v>428</v>
      </c>
      <c r="C266" s="37" t="s">
        <v>252</v>
      </c>
      <c r="D266" s="37" t="s">
        <v>253</v>
      </c>
      <c r="E266" s="26">
        <v>42643</v>
      </c>
      <c r="F266" s="26"/>
      <c r="G266" s="4">
        <v>15065948</v>
      </c>
      <c r="H266" s="4">
        <v>10964424</v>
      </c>
      <c r="I266" s="4">
        <v>100188499</v>
      </c>
      <c r="J266" s="4">
        <v>55878268</v>
      </c>
      <c r="K266" s="4">
        <v>-14203224</v>
      </c>
      <c r="L266" s="4">
        <f>7537343+0</f>
        <v>7537343</v>
      </c>
      <c r="M266" s="4">
        <v>2736968</v>
      </c>
      <c r="N266" s="4">
        <v>3495665</v>
      </c>
      <c r="O266" s="4">
        <v>45805959</v>
      </c>
      <c r="P266" s="4">
        <f t="shared" si="235"/>
        <v>59575935</v>
      </c>
      <c r="Q266" s="4">
        <v>63178682</v>
      </c>
      <c r="R266" s="4">
        <v>-2122571</v>
      </c>
      <c r="S266" s="27">
        <v>0</v>
      </c>
      <c r="T266" s="27">
        <v>0</v>
      </c>
      <c r="U266" s="27">
        <v>0</v>
      </c>
      <c r="V266" s="27">
        <v>0</v>
      </c>
      <c r="W266" s="27">
        <v>0</v>
      </c>
      <c r="X266" s="27">
        <v>1032381</v>
      </c>
      <c r="Y266" s="27">
        <v>4577507</v>
      </c>
      <c r="Z266" s="27">
        <v>10929382</v>
      </c>
      <c r="AA266" s="27">
        <f>34329383-Z266-Y266-X266</f>
        <v>17790113</v>
      </c>
      <c r="AB266" s="27">
        <f t="shared" si="233"/>
        <v>34329383</v>
      </c>
      <c r="AC266" s="27">
        <v>10929382</v>
      </c>
      <c r="AD266" s="27">
        <v>0</v>
      </c>
      <c r="AE266" s="27">
        <f>AC266+AD266</f>
        <v>10929382</v>
      </c>
      <c r="AF266" s="27">
        <v>0</v>
      </c>
      <c r="AG266" s="27">
        <v>2052411</v>
      </c>
      <c r="AH266" s="27">
        <v>2754759</v>
      </c>
      <c r="AI266" s="27">
        <v>1607966</v>
      </c>
      <c r="AJ266" s="28">
        <v>41913</v>
      </c>
      <c r="AK266" s="27">
        <v>0</v>
      </c>
      <c r="AL266" s="27">
        <v>33692315</v>
      </c>
      <c r="AM266" s="27">
        <f>AK266-AL266</f>
        <v>-33692315</v>
      </c>
      <c r="AN266" s="92">
        <f>AK266/AL266</f>
        <v>0</v>
      </c>
      <c r="AO266" s="29">
        <v>0.04</v>
      </c>
      <c r="AP266" s="2" t="s">
        <v>429</v>
      </c>
      <c r="AQ266" s="27">
        <v>0</v>
      </c>
      <c r="AR266" s="27">
        <v>0</v>
      </c>
      <c r="AS266" s="27">
        <v>0</v>
      </c>
      <c r="AT266" s="27">
        <v>0</v>
      </c>
      <c r="AU266" s="27">
        <v>0</v>
      </c>
      <c r="AV266" s="27">
        <v>0</v>
      </c>
      <c r="AW266" s="27">
        <v>0</v>
      </c>
      <c r="AX266" s="27">
        <f t="shared" si="232"/>
        <v>0</v>
      </c>
      <c r="AY266" s="27">
        <v>0</v>
      </c>
      <c r="AZ266" s="27">
        <v>0</v>
      </c>
      <c r="BA266" s="27">
        <v>0</v>
      </c>
      <c r="BB266" s="27">
        <v>0</v>
      </c>
      <c r="BC266" s="27">
        <v>0</v>
      </c>
      <c r="BD266" s="27">
        <f t="shared" si="234"/>
        <v>0</v>
      </c>
      <c r="BE266" s="29">
        <f t="shared" si="229"/>
        <v>0</v>
      </c>
      <c r="BF266" s="20" t="e">
        <f t="shared" si="230"/>
        <v>#DIV/0!</v>
      </c>
      <c r="BG266" s="29">
        <f t="shared" si="231"/>
        <v>0.49939419330976509</v>
      </c>
      <c r="BH266" s="20"/>
      <c r="BI266" s="20"/>
      <c r="BJ266" s="5"/>
      <c r="BK266" s="5"/>
      <c r="BL266" s="5"/>
      <c r="BM266" s="5"/>
      <c r="BN266" s="5"/>
      <c r="BO266" s="5"/>
      <c r="BP266" s="5"/>
      <c r="BQ266" s="43"/>
      <c r="BR266" s="43"/>
      <c r="BS266" s="43"/>
      <c r="BT266" s="44"/>
      <c r="BU266" s="43"/>
      <c r="BV266" s="5"/>
      <c r="BW266" s="43"/>
      <c r="BX266" s="43"/>
      <c r="BY266" s="43"/>
      <c r="BZ266" s="44"/>
      <c r="CA266" s="43"/>
      <c r="CB266" s="5"/>
      <c r="CC266" s="45"/>
      <c r="CD266" s="45"/>
      <c r="CE266" s="45"/>
      <c r="CF266" s="46"/>
      <c r="CG266" s="45"/>
      <c r="CH266" s="5"/>
      <c r="CI266" s="44"/>
      <c r="CJ266" s="44"/>
      <c r="CK266" s="44"/>
      <c r="CL266" s="44"/>
      <c r="CM266" s="44"/>
      <c r="CN266" s="47"/>
      <c r="CO266" s="5"/>
      <c r="CP266" s="47"/>
      <c r="CQ266" s="47"/>
      <c r="CR266" s="47"/>
      <c r="CS266" s="47"/>
      <c r="CT266" s="47"/>
      <c r="CU266" s="47"/>
    </row>
    <row r="267" spans="1:99" ht="15" customHeight="1">
      <c r="A267" s="5"/>
      <c r="B267" s="37" t="s">
        <v>430</v>
      </c>
      <c r="C267" s="37" t="s">
        <v>252</v>
      </c>
      <c r="D267" s="37" t="s">
        <v>253</v>
      </c>
      <c r="E267" s="26">
        <v>42551</v>
      </c>
      <c r="F267" s="26"/>
      <c r="G267" s="4">
        <f>2027679-294704</f>
        <v>1732975</v>
      </c>
      <c r="H267" s="4">
        <f>57287+10500</f>
        <v>67787</v>
      </c>
      <c r="I267" s="4">
        <v>2027679</v>
      </c>
      <c r="J267" s="4">
        <v>1820285</v>
      </c>
      <c r="K267" s="4">
        <v>1555048</v>
      </c>
      <c r="L267" s="4">
        <v>0</v>
      </c>
      <c r="M267" s="4">
        <v>0</v>
      </c>
      <c r="N267" s="4">
        <v>0</v>
      </c>
      <c r="O267" s="4">
        <v>0</v>
      </c>
      <c r="P267" s="4">
        <f t="shared" si="235"/>
        <v>0</v>
      </c>
      <c r="Q267" s="4">
        <v>0</v>
      </c>
      <c r="R267" s="4">
        <v>0</v>
      </c>
      <c r="S267" s="27">
        <v>1893393</v>
      </c>
      <c r="T267" s="27">
        <v>4023320</v>
      </c>
      <c r="U267" s="27">
        <v>1893393</v>
      </c>
      <c r="V267" s="27">
        <v>4023320</v>
      </c>
      <c r="W267" s="27">
        <v>-2099579</v>
      </c>
      <c r="X267" s="27">
        <v>5458</v>
      </c>
      <c r="Y267" s="27">
        <v>0</v>
      </c>
      <c r="Z267" s="27">
        <v>0</v>
      </c>
      <c r="AA267" s="27">
        <f>24009</f>
        <v>24009</v>
      </c>
      <c r="AB267" s="27">
        <f t="shared" si="233"/>
        <v>29467</v>
      </c>
      <c r="AC267" s="27"/>
      <c r="AD267" s="27"/>
      <c r="AE267" s="27"/>
      <c r="AF267" s="27"/>
      <c r="AG267" s="27"/>
      <c r="AH267" s="27"/>
      <c r="AI267" s="27"/>
      <c r="AJ267" s="28"/>
      <c r="AK267" s="27"/>
      <c r="AL267" s="27"/>
      <c r="AM267" s="27"/>
      <c r="AN267" s="92"/>
      <c r="AO267" s="29"/>
      <c r="AP267" s="29"/>
      <c r="AQ267" s="27">
        <v>0</v>
      </c>
      <c r="AR267" s="27">
        <v>0</v>
      </c>
      <c r="AS267" s="27">
        <v>0</v>
      </c>
      <c r="AT267" s="27">
        <v>0</v>
      </c>
      <c r="AU267" s="27">
        <v>0</v>
      </c>
      <c r="AV267" s="27">
        <v>0</v>
      </c>
      <c r="AW267" s="27">
        <v>1164632</v>
      </c>
      <c r="AX267" s="27">
        <f t="shared" si="232"/>
        <v>1164632</v>
      </c>
      <c r="AY267" s="27">
        <v>0</v>
      </c>
      <c r="AZ267" s="27">
        <v>0</v>
      </c>
      <c r="BA267" s="27">
        <v>0</v>
      </c>
      <c r="BB267" s="27">
        <v>0</v>
      </c>
      <c r="BC267" s="27">
        <v>1164632</v>
      </c>
      <c r="BD267" s="27">
        <f t="shared" si="234"/>
        <v>1164632</v>
      </c>
      <c r="BE267" s="20" t="e">
        <f t="shared" si="229"/>
        <v>#DIV/0!</v>
      </c>
      <c r="BF267" s="29">
        <f t="shared" si="230"/>
        <v>0.28947038764005845</v>
      </c>
      <c r="BG267" s="20" t="e">
        <f t="shared" si="231"/>
        <v>#DIV/0!</v>
      </c>
      <c r="BH267" s="20"/>
      <c r="BI267" s="20"/>
      <c r="BJ267" s="5"/>
      <c r="BK267" s="5"/>
      <c r="BL267" s="5"/>
      <c r="BM267" s="5"/>
      <c r="BN267" s="5"/>
      <c r="BO267" s="5"/>
      <c r="BP267" s="5"/>
      <c r="BQ267" s="43"/>
      <c r="BR267" s="43"/>
      <c r="BS267" s="43"/>
      <c r="BT267" s="44"/>
      <c r="BU267" s="43"/>
      <c r="BV267" s="5"/>
      <c r="BW267" s="43"/>
      <c r="BX267" s="43"/>
      <c r="BY267" s="43"/>
      <c r="BZ267" s="44"/>
      <c r="CA267" s="43"/>
      <c r="CB267" s="5"/>
      <c r="CC267" s="45"/>
      <c r="CD267" s="45"/>
      <c r="CE267" s="45"/>
      <c r="CF267" s="46"/>
      <c r="CG267" s="45"/>
      <c r="CH267" s="5"/>
      <c r="CI267" s="44"/>
      <c r="CJ267" s="44"/>
      <c r="CK267" s="44"/>
      <c r="CL267" s="44"/>
      <c r="CM267" s="44"/>
      <c r="CN267" s="47"/>
      <c r="CO267" s="5"/>
      <c r="CP267" s="47"/>
      <c r="CQ267" s="47"/>
      <c r="CR267" s="47"/>
      <c r="CS267" s="47"/>
      <c r="CT267" s="47"/>
      <c r="CU267" s="47"/>
    </row>
    <row r="268" spans="1:99" ht="15" customHeight="1">
      <c r="A268" s="5"/>
      <c r="B268" s="37" t="s">
        <v>431</v>
      </c>
      <c r="C268" s="37" t="s">
        <v>252</v>
      </c>
      <c r="D268" s="37" t="s">
        <v>253</v>
      </c>
      <c r="E268" s="26">
        <v>42551</v>
      </c>
      <c r="F268" s="26"/>
      <c r="G268" s="4">
        <f>I268-4556000</f>
        <v>472767</v>
      </c>
      <c r="H268" s="4">
        <f>81296+20582</f>
        <v>101878</v>
      </c>
      <c r="I268" s="4">
        <v>5028767</v>
      </c>
      <c r="J268" s="4">
        <v>4736117</v>
      </c>
      <c r="K268" s="4">
        <v>370831</v>
      </c>
      <c r="L268" s="4">
        <v>0</v>
      </c>
      <c r="M268" s="4">
        <v>0</v>
      </c>
      <c r="N268" s="4">
        <v>0</v>
      </c>
      <c r="O268" s="4">
        <v>0</v>
      </c>
      <c r="P268" s="4">
        <f t="shared" si="235"/>
        <v>0</v>
      </c>
      <c r="Q268" s="4">
        <v>0</v>
      </c>
      <c r="R268" s="4">
        <v>0</v>
      </c>
      <c r="S268" s="27">
        <v>1768579</v>
      </c>
      <c r="T268" s="27">
        <v>1744884</v>
      </c>
      <c r="U268" s="27">
        <v>2281130</v>
      </c>
      <c r="V268" s="27">
        <v>2088611</v>
      </c>
      <c r="W268" s="27">
        <v>23695</v>
      </c>
      <c r="X268" s="27">
        <v>41161</v>
      </c>
      <c r="Y268" s="27">
        <v>0</v>
      </c>
      <c r="Z268" s="27">
        <v>0</v>
      </c>
      <c r="AA268" s="27">
        <v>149553</v>
      </c>
      <c r="AB268" s="27">
        <f t="shared" si="233"/>
        <v>190714</v>
      </c>
      <c r="AC268" s="27"/>
      <c r="AD268" s="27"/>
      <c r="AE268" s="27"/>
      <c r="AF268" s="27"/>
      <c r="AG268" s="27"/>
      <c r="AH268" s="27"/>
      <c r="AI268" s="27"/>
      <c r="AJ268" s="28"/>
      <c r="AK268" s="27"/>
      <c r="AL268" s="27"/>
      <c r="AM268" s="27"/>
      <c r="AN268" s="92"/>
      <c r="AO268" s="29"/>
      <c r="AP268" s="29"/>
      <c r="AQ268" s="27">
        <v>0</v>
      </c>
      <c r="AR268" s="27">
        <v>0</v>
      </c>
      <c r="AS268" s="27">
        <v>33909</v>
      </c>
      <c r="AT268" s="27">
        <v>0</v>
      </c>
      <c r="AU268" s="27">
        <v>0</v>
      </c>
      <c r="AV268" s="27">
        <v>0</v>
      </c>
      <c r="AW268" s="27">
        <v>-60276</v>
      </c>
      <c r="AX268" s="27">
        <f t="shared" si="232"/>
        <v>-26367</v>
      </c>
      <c r="AY268" s="27">
        <v>33909</v>
      </c>
      <c r="AZ268" s="27">
        <v>397198</v>
      </c>
      <c r="BA268" s="27">
        <v>0</v>
      </c>
      <c r="BB268" s="27">
        <v>0</v>
      </c>
      <c r="BC268" s="27">
        <v>-60276</v>
      </c>
      <c r="BD268" s="27">
        <f t="shared" si="234"/>
        <v>370831</v>
      </c>
      <c r="BE268" s="20" t="e">
        <f t="shared" si="229"/>
        <v>#DIV/0!</v>
      </c>
      <c r="BF268" s="29">
        <f t="shared" si="230"/>
        <v>-1.5111033168967105E-2</v>
      </c>
      <c r="BG268" s="20" t="e">
        <f t="shared" si="231"/>
        <v>#DIV/0!</v>
      </c>
      <c r="BH268" s="20"/>
      <c r="BI268" s="20"/>
      <c r="BJ268" s="5"/>
      <c r="BK268" s="5"/>
      <c r="BL268" s="5"/>
      <c r="BM268" s="5"/>
      <c r="BN268" s="5"/>
      <c r="BO268" s="5"/>
      <c r="BP268" s="5"/>
      <c r="BQ268" s="43"/>
      <c r="BR268" s="43"/>
      <c r="BS268" s="43"/>
      <c r="BT268" s="44"/>
      <c r="BU268" s="43"/>
      <c r="BV268" s="5"/>
      <c r="BW268" s="43"/>
      <c r="BX268" s="43"/>
      <c r="BY268" s="43"/>
      <c r="BZ268" s="44"/>
      <c r="CA268" s="43"/>
      <c r="CB268" s="5"/>
      <c r="CC268" s="45"/>
      <c r="CD268" s="45"/>
      <c r="CE268" s="45"/>
      <c r="CF268" s="46"/>
      <c r="CG268" s="45"/>
      <c r="CH268" s="5"/>
      <c r="CI268" s="44"/>
      <c r="CJ268" s="44"/>
      <c r="CK268" s="44"/>
      <c r="CL268" s="44"/>
      <c r="CM268" s="44"/>
      <c r="CN268" s="47"/>
      <c r="CO268" s="5"/>
      <c r="CP268" s="47"/>
      <c r="CQ268" s="47"/>
      <c r="CR268" s="47"/>
      <c r="CS268" s="47"/>
      <c r="CT268" s="47"/>
      <c r="CU268" s="47"/>
    </row>
    <row r="269" spans="1:99" ht="15" customHeight="1">
      <c r="A269" s="5"/>
      <c r="B269" s="37" t="s">
        <v>432</v>
      </c>
      <c r="C269" s="37" t="s">
        <v>252</v>
      </c>
      <c r="D269" s="37" t="s">
        <v>253</v>
      </c>
      <c r="E269" s="26">
        <v>42735</v>
      </c>
      <c r="F269" s="26"/>
      <c r="G269" s="4">
        <f>I269-6487113</f>
        <v>629006</v>
      </c>
      <c r="H269" s="4">
        <v>482554</v>
      </c>
      <c r="I269" s="4">
        <v>7116119</v>
      </c>
      <c r="J269" s="4">
        <v>6633565</v>
      </c>
      <c r="K269" s="4">
        <v>6608565</v>
      </c>
      <c r="L269" s="4">
        <v>0</v>
      </c>
      <c r="M269" s="4">
        <v>0</v>
      </c>
      <c r="N269" s="4">
        <f>1989725+147558</f>
        <v>2137283</v>
      </c>
      <c r="O269" s="4">
        <f>6244642+301328</f>
        <v>6545970</v>
      </c>
      <c r="P269" s="4">
        <f t="shared" si="235"/>
        <v>8683253</v>
      </c>
      <c r="Q269" s="4">
        <v>8602286</v>
      </c>
      <c r="R269" s="4">
        <v>80920</v>
      </c>
      <c r="S269" s="27">
        <v>0</v>
      </c>
      <c r="T269" s="27">
        <v>0</v>
      </c>
      <c r="U269" s="27">
        <v>0</v>
      </c>
      <c r="V269" s="27">
        <v>0</v>
      </c>
      <c r="W269" s="27">
        <v>0</v>
      </c>
      <c r="X269" s="27">
        <v>0</v>
      </c>
      <c r="Y269" s="27">
        <v>0</v>
      </c>
      <c r="Z269" s="27">
        <v>0</v>
      </c>
      <c r="AA269" s="27">
        <v>0</v>
      </c>
      <c r="AB269" s="27">
        <f t="shared" si="233"/>
        <v>0</v>
      </c>
      <c r="AC269" s="27"/>
      <c r="AD269" s="27"/>
      <c r="AE269" s="27"/>
      <c r="AF269" s="27"/>
      <c r="AG269" s="27"/>
      <c r="AH269" s="27"/>
      <c r="AI269" s="27"/>
      <c r="AJ269" s="28"/>
      <c r="AK269" s="27"/>
      <c r="AL269" s="27"/>
      <c r="AM269" s="27"/>
      <c r="AN269" s="92"/>
      <c r="AO269" s="29"/>
      <c r="AP269" s="29"/>
      <c r="AQ269" s="27">
        <v>0</v>
      </c>
      <c r="AR269" s="27">
        <v>0</v>
      </c>
      <c r="AS269" s="27">
        <v>0</v>
      </c>
      <c r="AT269" s="27">
        <v>0</v>
      </c>
      <c r="AU269" s="27">
        <v>0</v>
      </c>
      <c r="AV269" s="27">
        <v>0</v>
      </c>
      <c r="AW269" s="27">
        <v>0</v>
      </c>
      <c r="AX269" s="27">
        <v>0</v>
      </c>
      <c r="AY269" s="27">
        <v>0</v>
      </c>
      <c r="AZ269" s="27">
        <v>0</v>
      </c>
      <c r="BA269" s="27">
        <v>0</v>
      </c>
      <c r="BB269" s="27">
        <v>0</v>
      </c>
      <c r="BC269" s="27">
        <v>0</v>
      </c>
      <c r="BD269" s="27">
        <f t="shared" si="234"/>
        <v>0</v>
      </c>
      <c r="BE269" s="29">
        <f t="shared" si="229"/>
        <v>0</v>
      </c>
      <c r="BF269" s="20" t="e">
        <f t="shared" si="230"/>
        <v>#DIV/0!</v>
      </c>
      <c r="BG269" s="29">
        <f t="shared" si="231"/>
        <v>0</v>
      </c>
      <c r="BH269" s="20"/>
      <c r="BI269" s="20"/>
      <c r="BJ269" s="5"/>
      <c r="BK269" s="5"/>
      <c r="BL269" s="5"/>
      <c r="BM269" s="5"/>
      <c r="BN269" s="5"/>
      <c r="BO269" s="5"/>
      <c r="BP269" s="5"/>
      <c r="BQ269" s="43"/>
      <c r="BR269" s="43"/>
      <c r="BS269" s="43"/>
      <c r="BT269" s="44"/>
      <c r="BU269" s="43"/>
      <c r="BV269" s="5"/>
      <c r="BW269" s="43"/>
      <c r="BX269" s="43"/>
      <c r="BY269" s="43"/>
      <c r="BZ269" s="44"/>
      <c r="CA269" s="43"/>
      <c r="CB269" s="5"/>
      <c r="CC269" s="45"/>
      <c r="CD269" s="45"/>
      <c r="CE269" s="45"/>
      <c r="CF269" s="46"/>
      <c r="CG269" s="45"/>
      <c r="CH269" s="5"/>
      <c r="CI269" s="44"/>
      <c r="CJ269" s="44"/>
      <c r="CK269" s="44"/>
      <c r="CL269" s="44"/>
      <c r="CM269" s="44"/>
      <c r="CN269" s="47"/>
      <c r="CO269" s="5"/>
      <c r="CP269" s="47"/>
      <c r="CQ269" s="47"/>
      <c r="CR269" s="47"/>
      <c r="CS269" s="47"/>
      <c r="CT269" s="47"/>
      <c r="CU269" s="47"/>
    </row>
    <row r="270" spans="1:99" ht="15" customHeight="1">
      <c r="A270" s="5"/>
      <c r="B270" s="37" t="s">
        <v>433</v>
      </c>
      <c r="C270" s="37" t="s">
        <v>252</v>
      </c>
      <c r="D270" s="37" t="s">
        <v>253</v>
      </c>
      <c r="E270" s="26">
        <v>42460</v>
      </c>
      <c r="F270" s="26"/>
      <c r="G270" s="4">
        <v>8003525</v>
      </c>
      <c r="H270" s="4">
        <v>794347</v>
      </c>
      <c r="I270" s="4">
        <v>16951122</v>
      </c>
      <c r="J270" s="4">
        <v>15109267</v>
      </c>
      <c r="K270" s="4">
        <v>6631697</v>
      </c>
      <c r="L270" s="4">
        <v>0</v>
      </c>
      <c r="M270" s="4">
        <v>5585638</v>
      </c>
      <c r="N270" s="4">
        <f>129197+3044909</f>
        <v>3174106</v>
      </c>
      <c r="O270" s="4">
        <v>264831</v>
      </c>
      <c r="P270" s="4">
        <f t="shared" si="235"/>
        <v>9024575</v>
      </c>
      <c r="Q270" s="4">
        <v>9271788</v>
      </c>
      <c r="R270" s="4">
        <v>-28325</v>
      </c>
      <c r="S270" s="27">
        <v>0</v>
      </c>
      <c r="T270" s="27">
        <v>0</v>
      </c>
      <c r="U270" s="27">
        <v>0</v>
      </c>
      <c r="V270" s="27">
        <v>0</v>
      </c>
      <c r="W270" s="27">
        <v>0</v>
      </c>
      <c r="X270" s="27">
        <v>40928</v>
      </c>
      <c r="Y270" s="27">
        <v>681701</v>
      </c>
      <c r="Z270" s="27">
        <v>0</v>
      </c>
      <c r="AA270" s="27">
        <f>516264-X270</f>
        <v>475336</v>
      </c>
      <c r="AB270" s="27">
        <f t="shared" si="233"/>
        <v>1197965</v>
      </c>
      <c r="AC270" s="27"/>
      <c r="AD270" s="27"/>
      <c r="AE270" s="27"/>
      <c r="AF270" s="27"/>
      <c r="AG270" s="27"/>
      <c r="AH270" s="27"/>
      <c r="AI270" s="27"/>
      <c r="AJ270" s="28"/>
      <c r="AK270" s="27"/>
      <c r="AL270" s="27"/>
      <c r="AM270" s="27"/>
      <c r="AN270" s="92"/>
      <c r="AO270" s="29"/>
      <c r="AP270" s="29"/>
      <c r="AQ270" s="27">
        <v>126250</v>
      </c>
      <c r="AR270" s="27">
        <v>126250</v>
      </c>
      <c r="AS270" s="27">
        <v>0</v>
      </c>
      <c r="AT270" s="27">
        <v>0</v>
      </c>
      <c r="AU270" s="27">
        <v>0</v>
      </c>
      <c r="AV270" s="27">
        <v>0</v>
      </c>
      <c r="AW270" s="27">
        <v>0</v>
      </c>
      <c r="AX270" s="27">
        <v>0</v>
      </c>
      <c r="AY270" s="27">
        <v>0</v>
      </c>
      <c r="AZ270" s="27">
        <v>0</v>
      </c>
      <c r="BA270" s="27">
        <v>0</v>
      </c>
      <c r="BB270" s="27">
        <v>0</v>
      </c>
      <c r="BC270" s="27">
        <v>0</v>
      </c>
      <c r="BD270" s="27">
        <f t="shared" si="234"/>
        <v>0</v>
      </c>
      <c r="BE270" s="29">
        <f t="shared" si="229"/>
        <v>1.398957845660322E-2</v>
      </c>
      <c r="BF270" s="20" t="e">
        <f t="shared" si="230"/>
        <v>#DIV/0!</v>
      </c>
      <c r="BG270" s="29">
        <f t="shared" si="231"/>
        <v>5.7206461246097462E-2</v>
      </c>
      <c r="BH270" s="20"/>
      <c r="BI270" s="20"/>
      <c r="BJ270" s="5"/>
      <c r="BK270" s="5"/>
      <c r="BL270" s="5"/>
      <c r="BM270" s="5"/>
      <c r="BN270" s="5"/>
      <c r="BO270" s="5"/>
      <c r="BP270" s="5"/>
      <c r="BQ270" s="43"/>
      <c r="BR270" s="43"/>
      <c r="BS270" s="43"/>
      <c r="BT270" s="44"/>
      <c r="BU270" s="43"/>
      <c r="BV270" s="5"/>
      <c r="BW270" s="43"/>
      <c r="BX270" s="43"/>
      <c r="BY270" s="43"/>
      <c r="BZ270" s="44"/>
      <c r="CA270" s="43"/>
      <c r="CB270" s="5"/>
      <c r="CC270" s="45"/>
      <c r="CD270" s="45"/>
      <c r="CE270" s="45"/>
      <c r="CF270" s="46"/>
      <c r="CG270" s="45"/>
      <c r="CH270" s="5"/>
      <c r="CI270" s="44"/>
      <c r="CJ270" s="44"/>
      <c r="CK270" s="44"/>
      <c r="CL270" s="44"/>
      <c r="CM270" s="44"/>
      <c r="CN270" s="47"/>
      <c r="CO270" s="5"/>
      <c r="CP270" s="47"/>
      <c r="CQ270" s="47"/>
      <c r="CR270" s="47"/>
      <c r="CS270" s="47"/>
      <c r="CT270" s="47"/>
      <c r="CU270" s="47"/>
    </row>
    <row r="271" spans="1:99" ht="15" customHeight="1">
      <c r="A271" s="5"/>
      <c r="B271" s="37" t="s">
        <v>434</v>
      </c>
      <c r="C271" s="37" t="s">
        <v>252</v>
      </c>
      <c r="D271" s="37" t="s">
        <v>253</v>
      </c>
      <c r="E271" s="26">
        <v>42551</v>
      </c>
      <c r="F271" s="26"/>
      <c r="G271" s="4">
        <v>2880699</v>
      </c>
      <c r="H271" s="4">
        <v>3735335</v>
      </c>
      <c r="I271" s="4">
        <v>112636264</v>
      </c>
      <c r="J271" s="4">
        <v>90715643</v>
      </c>
      <c r="K271" s="4">
        <v>47141299</v>
      </c>
      <c r="L271" s="4">
        <v>0</v>
      </c>
      <c r="M271" s="4">
        <v>0</v>
      </c>
      <c r="N271" s="4">
        <f>31043332+1794152+972587-3291602</f>
        <v>30518469</v>
      </c>
      <c r="O271" s="4">
        <f>903140+687815</f>
        <v>1590955</v>
      </c>
      <c r="P271" s="4">
        <f t="shared" si="235"/>
        <v>32109424</v>
      </c>
      <c r="Q271" s="4">
        <v>39275650</v>
      </c>
      <c r="R271" s="4">
        <v>-8773296</v>
      </c>
      <c r="S271" s="27">
        <v>0</v>
      </c>
      <c r="T271" s="27">
        <v>0</v>
      </c>
      <c r="U271" s="27">
        <v>0</v>
      </c>
      <c r="V271" s="27">
        <v>0</v>
      </c>
      <c r="W271" s="27">
        <v>0</v>
      </c>
      <c r="X271" s="27">
        <v>0</v>
      </c>
      <c r="Y271" s="27">
        <v>5292904</v>
      </c>
      <c r="Z271" s="27">
        <v>0</v>
      </c>
      <c r="AA271" s="27">
        <f>12812901+79481</f>
        <v>12892382</v>
      </c>
      <c r="AB271" s="27">
        <f t="shared" si="233"/>
        <v>18185286</v>
      </c>
      <c r="AC271" s="27"/>
      <c r="AD271" s="27"/>
      <c r="AE271" s="27"/>
      <c r="AF271" s="27"/>
      <c r="AG271" s="27"/>
      <c r="AH271" s="27"/>
      <c r="AI271" s="27"/>
      <c r="AJ271" s="28"/>
      <c r="AK271" s="27"/>
      <c r="AL271" s="27"/>
      <c r="AM271" s="27"/>
      <c r="AN271" s="92"/>
      <c r="AO271" s="29"/>
      <c r="AP271" s="29"/>
      <c r="AQ271" s="27">
        <v>0</v>
      </c>
      <c r="AR271" s="27">
        <v>0</v>
      </c>
      <c r="AS271" s="27">
        <v>0</v>
      </c>
      <c r="AT271" s="27">
        <v>0</v>
      </c>
      <c r="AU271" s="27">
        <v>0</v>
      </c>
      <c r="AV271" s="27">
        <v>0</v>
      </c>
      <c r="AW271" s="27">
        <v>0</v>
      </c>
      <c r="AX271" s="27">
        <f t="shared" ref="AX271:AX276" si="237">AS271+AT271+AU271+AV271+AW271</f>
        <v>0</v>
      </c>
      <c r="AY271" s="27">
        <v>0</v>
      </c>
      <c r="AZ271" s="27">
        <v>0</v>
      </c>
      <c r="BA271" s="27">
        <v>0</v>
      </c>
      <c r="BB271" s="27">
        <v>0</v>
      </c>
      <c r="BC271" s="27">
        <v>0</v>
      </c>
      <c r="BD271" s="27">
        <f t="shared" si="234"/>
        <v>0</v>
      </c>
      <c r="BE271" s="29">
        <f t="shared" si="229"/>
        <v>0</v>
      </c>
      <c r="BF271" s="20" t="e">
        <f t="shared" si="230"/>
        <v>#DIV/0!</v>
      </c>
      <c r="BG271" s="29">
        <f t="shared" si="231"/>
        <v>0.40151396051202909</v>
      </c>
      <c r="BH271" s="20"/>
      <c r="BI271" s="20"/>
      <c r="BJ271" s="5"/>
      <c r="BK271" s="5"/>
      <c r="BL271" s="5"/>
      <c r="BM271" s="5"/>
      <c r="BN271" s="5"/>
      <c r="BO271" s="5"/>
      <c r="BP271" s="5"/>
      <c r="BQ271" s="43"/>
      <c r="BR271" s="43"/>
      <c r="BS271" s="43"/>
      <c r="BT271" s="44"/>
      <c r="BU271" s="43"/>
      <c r="BV271" s="5"/>
      <c r="BW271" s="43"/>
      <c r="BX271" s="43"/>
      <c r="BY271" s="43"/>
      <c r="BZ271" s="44"/>
      <c r="CA271" s="43"/>
      <c r="CB271" s="5"/>
      <c r="CC271" s="45"/>
      <c r="CD271" s="45"/>
      <c r="CE271" s="45"/>
      <c r="CF271" s="46"/>
      <c r="CG271" s="45"/>
      <c r="CH271" s="5"/>
      <c r="CI271" s="44"/>
      <c r="CJ271" s="44"/>
      <c r="CK271" s="44"/>
      <c r="CL271" s="44"/>
      <c r="CM271" s="44"/>
      <c r="CN271" s="47"/>
      <c r="CO271" s="5"/>
      <c r="CP271" s="47"/>
      <c r="CQ271" s="47"/>
      <c r="CR271" s="47"/>
      <c r="CS271" s="47"/>
      <c r="CT271" s="47"/>
      <c r="CU271" s="47"/>
    </row>
    <row r="272" spans="1:99" ht="15" customHeight="1">
      <c r="A272" s="5"/>
      <c r="B272" s="37" t="s">
        <v>435</v>
      </c>
      <c r="C272" s="37" t="s">
        <v>252</v>
      </c>
      <c r="D272" s="37" t="s">
        <v>253</v>
      </c>
      <c r="E272" s="26">
        <v>42551</v>
      </c>
      <c r="F272" s="26"/>
      <c r="G272" s="4">
        <v>2418783</v>
      </c>
      <c r="H272" s="4">
        <v>5375085</v>
      </c>
      <c r="I272" s="4">
        <v>28280401</v>
      </c>
      <c r="J272" s="4">
        <v>22717597</v>
      </c>
      <c r="K272" s="4">
        <v>-3144021</v>
      </c>
      <c r="L272" s="4">
        <v>0</v>
      </c>
      <c r="M272" s="4">
        <v>5548076</v>
      </c>
      <c r="N272" s="4">
        <f>902826+7665+1266</f>
        <v>911757</v>
      </c>
      <c r="O272" s="4">
        <v>11656200</v>
      </c>
      <c r="P272" s="4">
        <f t="shared" si="235"/>
        <v>18116033</v>
      </c>
      <c r="Q272" s="4">
        <f>16879543+100085+146637</f>
        <v>17126265</v>
      </c>
      <c r="R272" s="4">
        <v>2997043</v>
      </c>
      <c r="S272" s="27">
        <v>0</v>
      </c>
      <c r="T272" s="27">
        <v>0</v>
      </c>
      <c r="U272" s="27">
        <v>0</v>
      </c>
      <c r="V272" s="27">
        <v>0</v>
      </c>
      <c r="W272" s="27">
        <v>0</v>
      </c>
      <c r="X272" s="27">
        <v>0</v>
      </c>
      <c r="Y272" s="27">
        <v>0</v>
      </c>
      <c r="Z272" s="27">
        <v>0</v>
      </c>
      <c r="AA272" s="27">
        <v>0</v>
      </c>
      <c r="AB272" s="27">
        <f t="shared" si="233"/>
        <v>0</v>
      </c>
      <c r="AC272" s="27"/>
      <c r="AD272" s="27"/>
      <c r="AE272" s="27"/>
      <c r="AF272" s="27"/>
      <c r="AG272" s="27"/>
      <c r="AH272" s="27"/>
      <c r="AI272" s="27"/>
      <c r="AJ272" s="28"/>
      <c r="AK272" s="27"/>
      <c r="AL272" s="27"/>
      <c r="AM272" s="27"/>
      <c r="AN272" s="92"/>
      <c r="AO272" s="29"/>
      <c r="AP272" s="29"/>
      <c r="AQ272" s="27">
        <v>0</v>
      </c>
      <c r="AR272" s="27">
        <v>0</v>
      </c>
      <c r="AS272" s="27">
        <v>0</v>
      </c>
      <c r="AT272" s="27">
        <v>0</v>
      </c>
      <c r="AU272" s="27">
        <v>0</v>
      </c>
      <c r="AV272" s="27">
        <v>0</v>
      </c>
      <c r="AW272" s="27">
        <v>0</v>
      </c>
      <c r="AX272" s="27">
        <f t="shared" si="237"/>
        <v>0</v>
      </c>
      <c r="AY272" s="27">
        <v>0</v>
      </c>
      <c r="AZ272" s="27">
        <v>0</v>
      </c>
      <c r="BA272" s="27">
        <v>0</v>
      </c>
      <c r="BB272" s="27">
        <v>0</v>
      </c>
      <c r="BC272" s="27">
        <v>0</v>
      </c>
      <c r="BD272" s="27">
        <f t="shared" si="234"/>
        <v>0</v>
      </c>
      <c r="BE272" s="29">
        <f t="shared" si="229"/>
        <v>0</v>
      </c>
      <c r="BF272" s="20" t="e">
        <f t="shared" si="230"/>
        <v>#DIV/0!</v>
      </c>
      <c r="BG272" s="29">
        <f t="shared" si="231"/>
        <v>0</v>
      </c>
      <c r="BH272" s="20"/>
      <c r="BI272" s="20"/>
      <c r="BJ272" s="5"/>
      <c r="BK272" s="5"/>
      <c r="BL272" s="5"/>
      <c r="BM272" s="5"/>
      <c r="BN272" s="5"/>
      <c r="BO272" s="5"/>
      <c r="BP272" s="5"/>
      <c r="BQ272" s="43"/>
      <c r="BR272" s="43"/>
      <c r="BS272" s="43"/>
      <c r="BT272" s="44"/>
      <c r="BU272" s="43"/>
      <c r="BV272" s="5"/>
      <c r="BW272" s="43"/>
      <c r="BX272" s="43"/>
      <c r="BY272" s="43"/>
      <c r="BZ272" s="44"/>
      <c r="CA272" s="43"/>
      <c r="CB272" s="5"/>
      <c r="CC272" s="45"/>
      <c r="CD272" s="45"/>
      <c r="CE272" s="45"/>
      <c r="CF272" s="46"/>
      <c r="CG272" s="45"/>
      <c r="CH272" s="5"/>
      <c r="CI272" s="44"/>
      <c r="CJ272" s="44"/>
      <c r="CK272" s="44"/>
      <c r="CL272" s="44"/>
      <c r="CM272" s="44"/>
      <c r="CN272" s="47"/>
      <c r="CO272" s="5"/>
      <c r="CP272" s="47"/>
      <c r="CQ272" s="47"/>
      <c r="CR272" s="47"/>
      <c r="CS272" s="47"/>
      <c r="CT272" s="47"/>
      <c r="CU272" s="47"/>
    </row>
    <row r="273" spans="1:99" ht="15" customHeight="1">
      <c r="A273" s="5"/>
      <c r="B273" s="37" t="s">
        <v>436</v>
      </c>
      <c r="C273" s="37" t="s">
        <v>252</v>
      </c>
      <c r="D273" s="37" t="s">
        <v>253</v>
      </c>
      <c r="E273" s="26">
        <v>42551</v>
      </c>
      <c r="F273" s="26"/>
      <c r="G273" s="4">
        <v>11314201</v>
      </c>
      <c r="H273" s="4">
        <v>6478915</v>
      </c>
      <c r="I273" s="4">
        <v>11314201</v>
      </c>
      <c r="J273" s="4">
        <v>4835286</v>
      </c>
      <c r="K273" s="4">
        <v>4835286</v>
      </c>
      <c r="L273" s="4">
        <v>8758</v>
      </c>
      <c r="M273" s="4">
        <v>5778596</v>
      </c>
      <c r="N273" s="4">
        <v>107128</v>
      </c>
      <c r="O273" s="4">
        <v>0</v>
      </c>
      <c r="P273" s="4">
        <f t="shared" si="235"/>
        <v>5894482</v>
      </c>
      <c r="Q273" s="4">
        <v>5894482</v>
      </c>
      <c r="R273" s="4">
        <v>0</v>
      </c>
      <c r="S273" s="27">
        <v>0</v>
      </c>
      <c r="T273" s="27">
        <v>0</v>
      </c>
      <c r="U273" s="27">
        <v>0</v>
      </c>
      <c r="V273" s="27">
        <v>0</v>
      </c>
      <c r="W273" s="27">
        <v>0</v>
      </c>
      <c r="X273" s="27">
        <v>0</v>
      </c>
      <c r="Y273" s="27">
        <v>0</v>
      </c>
      <c r="Z273" s="27">
        <v>0</v>
      </c>
      <c r="AA273" s="27">
        <v>0</v>
      </c>
      <c r="AB273" s="27">
        <f t="shared" si="233"/>
        <v>0</v>
      </c>
      <c r="AC273" s="27"/>
      <c r="AD273" s="27"/>
      <c r="AE273" s="27"/>
      <c r="AF273" s="27"/>
      <c r="AG273" s="27"/>
      <c r="AH273" s="27"/>
      <c r="AI273" s="27"/>
      <c r="AJ273" s="28"/>
      <c r="AK273" s="27"/>
      <c r="AL273" s="27"/>
      <c r="AM273" s="27"/>
      <c r="AN273" s="92"/>
      <c r="AO273" s="29"/>
      <c r="AP273" s="29"/>
      <c r="AQ273" s="27">
        <v>0</v>
      </c>
      <c r="AR273" s="27">
        <v>0</v>
      </c>
      <c r="AS273" s="27">
        <v>0</v>
      </c>
      <c r="AT273" s="27">
        <v>0</v>
      </c>
      <c r="AU273" s="27">
        <v>0</v>
      </c>
      <c r="AV273" s="27">
        <v>0</v>
      </c>
      <c r="AW273" s="27">
        <v>0</v>
      </c>
      <c r="AX273" s="27">
        <f t="shared" si="237"/>
        <v>0</v>
      </c>
      <c r="AY273" s="27">
        <v>0</v>
      </c>
      <c r="AZ273" s="27">
        <v>0</v>
      </c>
      <c r="BA273" s="27">
        <v>0</v>
      </c>
      <c r="BB273" s="27">
        <v>0</v>
      </c>
      <c r="BC273" s="27">
        <v>0</v>
      </c>
      <c r="BD273" s="27">
        <f t="shared" si="234"/>
        <v>0</v>
      </c>
      <c r="BE273" s="29">
        <f t="shared" si="229"/>
        <v>0</v>
      </c>
      <c r="BF273" s="20" t="e">
        <f t="shared" si="230"/>
        <v>#DIV/0!</v>
      </c>
      <c r="BG273" s="29">
        <f t="shared" si="231"/>
        <v>0</v>
      </c>
      <c r="BH273" s="20"/>
      <c r="BI273" s="20"/>
      <c r="BJ273" s="5"/>
      <c r="BK273" s="5"/>
      <c r="BL273" s="5"/>
      <c r="BM273" s="5"/>
      <c r="BN273" s="5"/>
      <c r="BO273" s="5"/>
      <c r="BP273" s="5"/>
      <c r="BQ273" s="43"/>
      <c r="BR273" s="43"/>
      <c r="BS273" s="43"/>
      <c r="BT273" s="44"/>
      <c r="BU273" s="43"/>
      <c r="BV273" s="5"/>
      <c r="BW273" s="43"/>
      <c r="BX273" s="43"/>
      <c r="BY273" s="43"/>
      <c r="BZ273" s="44"/>
      <c r="CA273" s="43"/>
      <c r="CB273" s="5"/>
      <c r="CC273" s="45"/>
      <c r="CD273" s="45"/>
      <c r="CE273" s="45"/>
      <c r="CF273" s="46"/>
      <c r="CG273" s="45"/>
      <c r="CH273" s="5"/>
      <c r="CI273" s="44"/>
      <c r="CJ273" s="44"/>
      <c r="CK273" s="44"/>
      <c r="CL273" s="44"/>
      <c r="CM273" s="44"/>
      <c r="CN273" s="47"/>
      <c r="CO273" s="5"/>
      <c r="CP273" s="47"/>
      <c r="CQ273" s="47"/>
      <c r="CR273" s="47"/>
      <c r="CS273" s="47"/>
      <c r="CT273" s="47"/>
      <c r="CU273" s="47"/>
    </row>
    <row r="274" spans="1:99" ht="15" customHeight="1">
      <c r="A274" s="5"/>
      <c r="B274" s="37" t="s">
        <v>437</v>
      </c>
      <c r="C274" s="37" t="s">
        <v>252</v>
      </c>
      <c r="D274" s="37" t="s">
        <v>253</v>
      </c>
      <c r="E274" s="26">
        <v>42551</v>
      </c>
      <c r="F274" s="26"/>
      <c r="G274" s="4">
        <v>528116</v>
      </c>
      <c r="H274" s="4">
        <v>24097</v>
      </c>
      <c r="I274" s="4">
        <v>1042583</v>
      </c>
      <c r="J274" s="4">
        <v>1018486</v>
      </c>
      <c r="K274" s="4">
        <v>504019</v>
      </c>
      <c r="L274" s="4">
        <f>32764+35562</f>
        <v>68326</v>
      </c>
      <c r="M274" s="4">
        <v>0</v>
      </c>
      <c r="N274" s="4">
        <v>78065</v>
      </c>
      <c r="O274" s="4">
        <f>268621+260634</f>
        <v>529255</v>
      </c>
      <c r="P274" s="4">
        <f t="shared" si="235"/>
        <v>675646</v>
      </c>
      <c r="Q274" s="4">
        <v>756385</v>
      </c>
      <c r="R274" s="4">
        <v>-80739</v>
      </c>
      <c r="S274" s="27">
        <v>35562</v>
      </c>
      <c r="T274" s="27">
        <v>0</v>
      </c>
      <c r="U274" s="27">
        <v>675646</v>
      </c>
      <c r="V274" s="27">
        <v>756385</v>
      </c>
      <c r="W274" s="27">
        <v>11976</v>
      </c>
      <c r="X274" s="27">
        <v>0</v>
      </c>
      <c r="Y274" s="27">
        <v>0</v>
      </c>
      <c r="Z274" s="27">
        <v>0</v>
      </c>
      <c r="AA274" s="27">
        <v>0</v>
      </c>
      <c r="AB274" s="27">
        <f t="shared" si="233"/>
        <v>0</v>
      </c>
      <c r="AC274" s="27"/>
      <c r="AD274" s="27"/>
      <c r="AE274" s="27"/>
      <c r="AF274" s="27"/>
      <c r="AG274" s="27"/>
      <c r="AH274" s="27"/>
      <c r="AI274" s="27"/>
      <c r="AJ274" s="28"/>
      <c r="AK274" s="27"/>
      <c r="AL274" s="27"/>
      <c r="AM274" s="27"/>
      <c r="AN274" s="92"/>
      <c r="AO274" s="29"/>
      <c r="AP274" s="29"/>
      <c r="AQ274" s="27">
        <v>0</v>
      </c>
      <c r="AR274" s="27">
        <v>0</v>
      </c>
      <c r="AS274" s="27">
        <v>0</v>
      </c>
      <c r="AT274" s="27">
        <v>0</v>
      </c>
      <c r="AU274" s="27">
        <v>0</v>
      </c>
      <c r="AV274" s="27">
        <v>0</v>
      </c>
      <c r="AW274" s="27">
        <v>504019</v>
      </c>
      <c r="AX274" s="27">
        <f t="shared" si="237"/>
        <v>504019</v>
      </c>
      <c r="AY274" s="27">
        <v>0</v>
      </c>
      <c r="AZ274" s="27">
        <v>0</v>
      </c>
      <c r="BA274" s="27">
        <v>0</v>
      </c>
      <c r="BB274" s="27">
        <v>0</v>
      </c>
      <c r="BC274" s="27">
        <v>0</v>
      </c>
      <c r="BD274" s="27">
        <f t="shared" si="234"/>
        <v>0</v>
      </c>
      <c r="BE274" s="29">
        <f t="shared" si="229"/>
        <v>0</v>
      </c>
      <c r="BF274" s="20" t="e">
        <f t="shared" si="230"/>
        <v>#DIV/0!</v>
      </c>
      <c r="BG274" s="29">
        <f t="shared" si="231"/>
        <v>0</v>
      </c>
      <c r="BH274" s="20"/>
      <c r="BI274" s="20"/>
      <c r="BJ274" s="5"/>
      <c r="BK274" s="5"/>
      <c r="BL274" s="5"/>
      <c r="BM274" s="5"/>
      <c r="BN274" s="5"/>
      <c r="BO274" s="5"/>
      <c r="BP274" s="5"/>
      <c r="BQ274" s="43"/>
      <c r="BR274" s="43"/>
      <c r="BS274" s="43"/>
      <c r="BT274" s="44"/>
      <c r="BU274" s="43"/>
      <c r="BV274" s="5"/>
      <c r="BW274" s="43"/>
      <c r="BX274" s="43"/>
      <c r="BY274" s="43"/>
      <c r="BZ274" s="44"/>
      <c r="CA274" s="43"/>
      <c r="CB274" s="5"/>
      <c r="CC274" s="45"/>
      <c r="CD274" s="45"/>
      <c r="CE274" s="45"/>
      <c r="CF274" s="46"/>
      <c r="CG274" s="45"/>
      <c r="CH274" s="5"/>
      <c r="CI274" s="44"/>
      <c r="CJ274" s="44"/>
      <c r="CK274" s="44"/>
      <c r="CL274" s="44"/>
      <c r="CM274" s="44"/>
      <c r="CN274" s="47"/>
      <c r="CO274" s="5"/>
      <c r="CP274" s="47"/>
      <c r="CQ274" s="47"/>
      <c r="CR274" s="47"/>
      <c r="CS274" s="47"/>
      <c r="CT274" s="47"/>
      <c r="CU274" s="47"/>
    </row>
    <row r="275" spans="1:99" ht="15" customHeight="1">
      <c r="A275" s="5"/>
      <c r="B275" s="37" t="s">
        <v>438</v>
      </c>
      <c r="C275" s="37" t="s">
        <v>252</v>
      </c>
      <c r="D275" s="37" t="s">
        <v>253</v>
      </c>
      <c r="E275" s="26">
        <v>42551</v>
      </c>
      <c r="F275" s="26"/>
      <c r="G275" s="4">
        <v>537198</v>
      </c>
      <c r="H275" s="4">
        <v>54054</v>
      </c>
      <c r="I275" s="4">
        <v>554992</v>
      </c>
      <c r="J275" s="4">
        <v>463821</v>
      </c>
      <c r="K275" s="4">
        <v>10539</v>
      </c>
      <c r="L275" s="4">
        <v>4831</v>
      </c>
      <c r="M275" s="4">
        <v>0</v>
      </c>
      <c r="N275" s="4">
        <v>317348</v>
      </c>
      <c r="O275" s="4">
        <v>696642</v>
      </c>
      <c r="P275" s="4">
        <f t="shared" si="235"/>
        <v>1018821</v>
      </c>
      <c r="Q275" s="4">
        <v>1089925</v>
      </c>
      <c r="R275" s="4">
        <v>-71104</v>
      </c>
      <c r="S275" s="27">
        <v>825118</v>
      </c>
      <c r="T275" s="27">
        <v>889626</v>
      </c>
      <c r="U275" s="27">
        <v>1007032</v>
      </c>
      <c r="V275" s="27">
        <v>1084271</v>
      </c>
      <c r="W275" s="27">
        <v>-64508</v>
      </c>
      <c r="X275" s="27">
        <v>3700</v>
      </c>
      <c r="Y275" s="27">
        <v>0</v>
      </c>
      <c r="Z275" s="27">
        <v>0</v>
      </c>
      <c r="AA275" s="27">
        <v>37117</v>
      </c>
      <c r="AB275" s="27">
        <f t="shared" si="233"/>
        <v>40817</v>
      </c>
      <c r="AC275" s="27"/>
      <c r="AD275" s="27"/>
      <c r="AE275" s="27"/>
      <c r="AF275" s="27"/>
      <c r="AG275" s="27"/>
      <c r="AH275" s="27"/>
      <c r="AI275" s="27"/>
      <c r="AJ275" s="28"/>
      <c r="AK275" s="27"/>
      <c r="AL275" s="27"/>
      <c r="AM275" s="27"/>
      <c r="AN275" s="92"/>
      <c r="AO275" s="29"/>
      <c r="AP275" s="29"/>
      <c r="AQ275" s="27">
        <v>0</v>
      </c>
      <c r="AR275" s="27">
        <v>75167</v>
      </c>
      <c r="AS275" s="27">
        <v>20695</v>
      </c>
      <c r="AT275" s="27">
        <v>0</v>
      </c>
      <c r="AU275" s="27">
        <v>52452</v>
      </c>
      <c r="AV275" s="27">
        <v>86988</v>
      </c>
      <c r="AW275" s="27">
        <v>283789</v>
      </c>
      <c r="AX275" s="27">
        <f t="shared" si="237"/>
        <v>443924</v>
      </c>
      <c r="AY275" s="27">
        <v>20695</v>
      </c>
      <c r="AZ275" s="27">
        <v>10539</v>
      </c>
      <c r="BA275" s="27">
        <v>81133</v>
      </c>
      <c r="BB275" s="27">
        <v>86988</v>
      </c>
      <c r="BC275" s="27">
        <v>272000</v>
      </c>
      <c r="BD275" s="27">
        <f t="shared" si="234"/>
        <v>471355</v>
      </c>
      <c r="BE275" s="29">
        <f t="shared" si="229"/>
        <v>0</v>
      </c>
      <c r="BF275" s="29">
        <f t="shared" si="230"/>
        <v>0.49900070366648458</v>
      </c>
      <c r="BG275" s="29">
        <f t="shared" si="231"/>
        <v>4.0062974752189048E-2</v>
      </c>
      <c r="BH275" s="20"/>
      <c r="BI275" s="20"/>
      <c r="BJ275" s="5"/>
      <c r="BK275" s="5"/>
      <c r="BL275" s="5"/>
      <c r="BM275" s="5"/>
      <c r="BN275" s="5"/>
      <c r="BO275" s="5"/>
      <c r="BP275" s="5"/>
      <c r="BQ275" s="43"/>
      <c r="BR275" s="43"/>
      <c r="BS275" s="43"/>
      <c r="BT275" s="44"/>
      <c r="BU275" s="43"/>
      <c r="BV275" s="5"/>
      <c r="BW275" s="43"/>
      <c r="BX275" s="43"/>
      <c r="BY275" s="43"/>
      <c r="BZ275" s="44"/>
      <c r="CA275" s="43"/>
      <c r="CB275" s="5"/>
      <c r="CC275" s="45"/>
      <c r="CD275" s="45"/>
      <c r="CE275" s="45"/>
      <c r="CF275" s="46"/>
      <c r="CG275" s="45"/>
      <c r="CH275" s="5"/>
      <c r="CI275" s="44"/>
      <c r="CJ275" s="44"/>
      <c r="CK275" s="44"/>
      <c r="CL275" s="44"/>
      <c r="CM275" s="44"/>
      <c r="CN275" s="47"/>
      <c r="CO275" s="5"/>
      <c r="CP275" s="47"/>
      <c r="CQ275" s="47"/>
      <c r="CR275" s="47"/>
      <c r="CS275" s="47"/>
      <c r="CT275" s="47"/>
      <c r="CU275" s="47"/>
    </row>
    <row r="276" spans="1:99" ht="15" customHeight="1">
      <c r="A276" s="5"/>
      <c r="B276" s="37" t="s">
        <v>439</v>
      </c>
      <c r="C276" s="37" t="s">
        <v>252</v>
      </c>
      <c r="D276" s="37" t="s">
        <v>253</v>
      </c>
      <c r="E276" s="26">
        <v>42551</v>
      </c>
      <c r="F276" s="26"/>
      <c r="G276" s="4">
        <v>1005913</v>
      </c>
      <c r="H276" s="4">
        <v>38830</v>
      </c>
      <c r="I276" s="4">
        <v>1545044</v>
      </c>
      <c r="J276" s="4">
        <v>1441766</v>
      </c>
      <c r="K276" s="4">
        <v>902635</v>
      </c>
      <c r="L276" s="4">
        <v>780394</v>
      </c>
      <c r="M276" s="4">
        <v>0</v>
      </c>
      <c r="N276" s="4">
        <v>386900</v>
      </c>
      <c r="O276" s="4">
        <v>461806</v>
      </c>
      <c r="P276" s="4">
        <f t="shared" si="235"/>
        <v>1629100</v>
      </c>
      <c r="Q276" s="4">
        <v>1357225</v>
      </c>
      <c r="R276" s="4">
        <v>271875</v>
      </c>
      <c r="S276" s="27">
        <v>1465368</v>
      </c>
      <c r="T276" s="27">
        <v>1213810</v>
      </c>
      <c r="U276" s="27">
        <v>1629100</v>
      </c>
      <c r="V276" s="27">
        <v>1384542</v>
      </c>
      <c r="W276" s="27">
        <v>-5442</v>
      </c>
      <c r="X276" s="27">
        <v>0</v>
      </c>
      <c r="Y276" s="27">
        <v>0</v>
      </c>
      <c r="Z276" s="27">
        <v>0</v>
      </c>
      <c r="AA276" s="27">
        <v>25044</v>
      </c>
      <c r="AB276" s="27">
        <f t="shared" si="233"/>
        <v>25044</v>
      </c>
      <c r="AC276" s="27"/>
      <c r="AD276" s="27"/>
      <c r="AE276" s="27"/>
      <c r="AF276" s="27"/>
      <c r="AG276" s="27"/>
      <c r="AH276" s="27"/>
      <c r="AI276" s="27"/>
      <c r="AJ276" s="28"/>
      <c r="AK276" s="27"/>
      <c r="AL276" s="27"/>
      <c r="AM276" s="27"/>
      <c r="AN276" s="92"/>
      <c r="AO276" s="29"/>
      <c r="AP276" s="29"/>
      <c r="AQ276" s="27">
        <v>0</v>
      </c>
      <c r="AR276" s="27">
        <v>0</v>
      </c>
      <c r="AS276" s="27">
        <v>27488</v>
      </c>
      <c r="AT276" s="27">
        <v>0</v>
      </c>
      <c r="AU276" s="27">
        <v>0</v>
      </c>
      <c r="AV276" s="27">
        <v>0</v>
      </c>
      <c r="AW276" s="27">
        <v>650191</v>
      </c>
      <c r="AX276" s="27">
        <f t="shared" si="237"/>
        <v>677679</v>
      </c>
      <c r="AY276" s="27">
        <v>27488</v>
      </c>
      <c r="AZ276" s="27">
        <v>0</v>
      </c>
      <c r="BA276" s="27">
        <v>250000</v>
      </c>
      <c r="BB276" s="27">
        <v>0</v>
      </c>
      <c r="BC276" s="27">
        <v>650191</v>
      </c>
      <c r="BD276" s="27">
        <f t="shared" si="234"/>
        <v>927679</v>
      </c>
      <c r="BE276" s="29">
        <f t="shared" si="229"/>
        <v>0</v>
      </c>
      <c r="BF276" s="29">
        <f t="shared" si="230"/>
        <v>0.55830731333569505</v>
      </c>
      <c r="BG276" s="29">
        <f t="shared" si="231"/>
        <v>1.5372905285126756E-2</v>
      </c>
      <c r="BH276" s="20"/>
      <c r="BI276" s="20"/>
      <c r="BJ276" s="5"/>
      <c r="BK276" s="5"/>
      <c r="BL276" s="5"/>
      <c r="BM276" s="5"/>
      <c r="BN276" s="5"/>
      <c r="BO276" s="5"/>
      <c r="BP276" s="5"/>
      <c r="BQ276" s="43"/>
      <c r="BR276" s="43"/>
      <c r="BS276" s="43"/>
      <c r="BT276" s="44"/>
      <c r="BU276" s="43"/>
      <c r="BV276" s="5"/>
      <c r="BW276" s="43"/>
      <c r="BX276" s="43"/>
      <c r="BY276" s="43"/>
      <c r="BZ276" s="44"/>
      <c r="CA276" s="43"/>
      <c r="CB276" s="5"/>
      <c r="CC276" s="45"/>
      <c r="CD276" s="45"/>
      <c r="CE276" s="45"/>
      <c r="CF276" s="46"/>
      <c r="CG276" s="45"/>
      <c r="CH276" s="5"/>
      <c r="CI276" s="44"/>
      <c r="CJ276" s="44"/>
      <c r="CK276" s="44"/>
      <c r="CL276" s="44"/>
      <c r="CM276" s="44"/>
      <c r="CN276" s="47"/>
      <c r="CO276" s="5"/>
      <c r="CP276" s="47"/>
      <c r="CQ276" s="47"/>
      <c r="CR276" s="47"/>
      <c r="CS276" s="47"/>
      <c r="CT276" s="47"/>
      <c r="CU276" s="47"/>
    </row>
    <row r="277" spans="1:99" ht="15" customHeight="1">
      <c r="A277" s="5"/>
      <c r="B277" s="37" t="s">
        <v>440</v>
      </c>
      <c r="C277" s="37" t="s">
        <v>252</v>
      </c>
      <c r="D277" s="37" t="s">
        <v>253</v>
      </c>
      <c r="E277" s="26">
        <v>42551</v>
      </c>
      <c r="F277" s="26"/>
      <c r="G277" s="4">
        <f>I277-44805</f>
        <v>3007119</v>
      </c>
      <c r="H277" s="4">
        <v>57493</v>
      </c>
      <c r="I277" s="4">
        <v>3051924</v>
      </c>
      <c r="J277" s="4">
        <v>2994431</v>
      </c>
      <c r="K277" s="4">
        <v>2847404</v>
      </c>
      <c r="L277" s="4">
        <f>5230+8868+69163</f>
        <v>83261</v>
      </c>
      <c r="M277" s="4">
        <v>0</v>
      </c>
      <c r="N277" s="4">
        <v>684603</v>
      </c>
      <c r="O277" s="4">
        <f>1620594+38956</f>
        <v>1659550</v>
      </c>
      <c r="P277" s="4">
        <f t="shared" si="235"/>
        <v>2427414</v>
      </c>
      <c r="Q277" s="4">
        <v>1937619</v>
      </c>
      <c r="R277" s="4">
        <v>489795</v>
      </c>
      <c r="S277" s="27">
        <v>0</v>
      </c>
      <c r="T277" s="27">
        <v>0</v>
      </c>
      <c r="U277" s="27">
        <v>0</v>
      </c>
      <c r="V277" s="27">
        <v>0</v>
      </c>
      <c r="W277" s="27">
        <v>0</v>
      </c>
      <c r="X277" s="27">
        <v>0</v>
      </c>
      <c r="Y277" s="27">
        <v>0</v>
      </c>
      <c r="Z277" s="27">
        <v>0</v>
      </c>
      <c r="AA277" s="27">
        <v>0</v>
      </c>
      <c r="AB277" s="27">
        <v>0</v>
      </c>
      <c r="AC277" s="27"/>
      <c r="AD277" s="27"/>
      <c r="AE277" s="27"/>
      <c r="AF277" s="27"/>
      <c r="AG277" s="27"/>
      <c r="AH277" s="27"/>
      <c r="AI277" s="27"/>
      <c r="AJ277" s="28"/>
      <c r="AK277" s="27"/>
      <c r="AL277" s="27"/>
      <c r="AM277" s="27"/>
      <c r="AN277" s="27"/>
      <c r="AO277" s="27"/>
      <c r="AP277" s="27"/>
      <c r="AQ277" s="27">
        <v>0</v>
      </c>
      <c r="AR277" s="27">
        <v>0</v>
      </c>
      <c r="AS277" s="27">
        <v>0</v>
      </c>
      <c r="AT277" s="27">
        <v>0</v>
      </c>
      <c r="AU277" s="27">
        <v>0</v>
      </c>
      <c r="AV277" s="27">
        <v>0</v>
      </c>
      <c r="AW277" s="27">
        <v>0</v>
      </c>
      <c r="AX277" s="27">
        <v>0</v>
      </c>
      <c r="AY277" s="27">
        <v>0</v>
      </c>
      <c r="AZ277" s="27">
        <v>0</v>
      </c>
      <c r="BA277" s="27">
        <v>0</v>
      </c>
      <c r="BB277" s="27">
        <v>0</v>
      </c>
      <c r="BC277" s="27">
        <v>0</v>
      </c>
      <c r="BD277" s="27">
        <f t="shared" si="234"/>
        <v>0</v>
      </c>
      <c r="BE277" s="29">
        <f t="shared" ref="BE277:BE308" si="238">AQ277/P277</f>
        <v>0</v>
      </c>
      <c r="BF277" s="20" t="e">
        <f t="shared" ref="BF277:BF308" si="239">AX277/T277</f>
        <v>#DIV/0!</v>
      </c>
      <c r="BG277" s="29">
        <f t="shared" ref="BG277:BG308" si="240">(AB277-Y277)/P277</f>
        <v>0</v>
      </c>
      <c r="BH277" s="20"/>
      <c r="BI277" s="20"/>
      <c r="BJ277" s="5"/>
      <c r="BK277" s="5"/>
      <c r="BL277" s="5"/>
      <c r="BM277" s="5"/>
      <c r="BN277" s="5"/>
      <c r="BO277" s="5"/>
      <c r="BP277" s="5"/>
      <c r="BQ277" s="43"/>
      <c r="BR277" s="43"/>
      <c r="BS277" s="43"/>
      <c r="BT277" s="44"/>
      <c r="BU277" s="43"/>
      <c r="BV277" s="5"/>
      <c r="BW277" s="43"/>
      <c r="BX277" s="43"/>
      <c r="BY277" s="43"/>
      <c r="BZ277" s="44"/>
      <c r="CA277" s="43"/>
      <c r="CB277" s="5"/>
      <c r="CC277" s="45"/>
      <c r="CD277" s="45"/>
      <c r="CE277" s="45"/>
      <c r="CF277" s="46"/>
      <c r="CG277" s="45"/>
      <c r="CH277" s="5"/>
      <c r="CI277" s="44"/>
      <c r="CJ277" s="44"/>
      <c r="CK277" s="44"/>
      <c r="CL277" s="44"/>
      <c r="CM277" s="44"/>
      <c r="CN277" s="47"/>
      <c r="CO277" s="5"/>
      <c r="CP277" s="47"/>
      <c r="CQ277" s="47"/>
      <c r="CR277" s="47"/>
      <c r="CS277" s="47"/>
      <c r="CT277" s="47"/>
      <c r="CU277" s="47"/>
    </row>
    <row r="278" spans="1:99" ht="15" customHeight="1">
      <c r="A278" s="5"/>
      <c r="B278" s="37" t="s">
        <v>441</v>
      </c>
      <c r="C278" s="37" t="s">
        <v>252</v>
      </c>
      <c r="D278" s="37" t="s">
        <v>253</v>
      </c>
      <c r="E278" s="26">
        <v>42551</v>
      </c>
      <c r="F278" s="26"/>
      <c r="G278" s="4">
        <v>1313630</v>
      </c>
      <c r="H278" s="4">
        <v>500677</v>
      </c>
      <c r="I278" s="4">
        <v>1533405</v>
      </c>
      <c r="J278" s="4">
        <v>961554</v>
      </c>
      <c r="K278" s="4">
        <v>741779</v>
      </c>
      <c r="L278" s="4">
        <v>0</v>
      </c>
      <c r="M278" s="4">
        <v>1077807</v>
      </c>
      <c r="N278" s="4">
        <f>313536+108220</f>
        <v>421756</v>
      </c>
      <c r="O278" s="4">
        <v>1354588</v>
      </c>
      <c r="P278" s="4">
        <f t="shared" si="235"/>
        <v>2854151</v>
      </c>
      <c r="Q278" s="4">
        <v>2589360</v>
      </c>
      <c r="R278" s="4">
        <v>961554</v>
      </c>
      <c r="S278" s="27">
        <v>0</v>
      </c>
      <c r="T278" s="27">
        <v>0</v>
      </c>
      <c r="U278" s="27">
        <v>0</v>
      </c>
      <c r="V278" s="27">
        <v>0</v>
      </c>
      <c r="W278" s="27">
        <v>0</v>
      </c>
      <c r="X278" s="27">
        <v>67103</v>
      </c>
      <c r="Y278" s="27">
        <v>0</v>
      </c>
      <c r="Z278" s="27">
        <v>0</v>
      </c>
      <c r="AA278" s="27">
        <v>71174</v>
      </c>
      <c r="AB278" s="27">
        <f t="shared" ref="AB278:AB289" si="241">X278+Y278+Z278+AA278</f>
        <v>138277</v>
      </c>
      <c r="AC278" s="27"/>
      <c r="AD278" s="27"/>
      <c r="AE278" s="27"/>
      <c r="AF278" s="27"/>
      <c r="AG278" s="27"/>
      <c r="AH278" s="27"/>
      <c r="AI278" s="27"/>
      <c r="AJ278" s="28"/>
      <c r="AK278" s="27"/>
      <c r="AL278" s="27"/>
      <c r="AM278" s="27"/>
      <c r="AN278" s="92"/>
      <c r="AO278" s="29"/>
      <c r="AP278" s="29"/>
      <c r="AQ278" s="27">
        <v>0</v>
      </c>
      <c r="AR278" s="27">
        <v>0</v>
      </c>
      <c r="AS278" s="27">
        <v>0</v>
      </c>
      <c r="AT278" s="27">
        <v>0</v>
      </c>
      <c r="AU278" s="27">
        <v>0</v>
      </c>
      <c r="AV278" s="27">
        <v>0</v>
      </c>
      <c r="AW278" s="27">
        <v>745817</v>
      </c>
      <c r="AX278" s="27">
        <f>AS278+AT278+AU278+AV278+AW278</f>
        <v>745817</v>
      </c>
      <c r="AY278" s="27">
        <v>0</v>
      </c>
      <c r="AZ278" s="27">
        <v>0</v>
      </c>
      <c r="BA278" s="27">
        <v>0</v>
      </c>
      <c r="BB278" s="27">
        <v>0</v>
      </c>
      <c r="BC278" s="27">
        <v>745850</v>
      </c>
      <c r="BD278" s="27">
        <f t="shared" si="234"/>
        <v>745850</v>
      </c>
      <c r="BE278" s="29">
        <f t="shared" si="238"/>
        <v>0</v>
      </c>
      <c r="BF278" s="20" t="e">
        <f t="shared" si="239"/>
        <v>#DIV/0!</v>
      </c>
      <c r="BG278" s="29">
        <f t="shared" si="240"/>
        <v>4.8447681990196036E-2</v>
      </c>
      <c r="BH278" s="20"/>
      <c r="BI278" s="20"/>
      <c r="BJ278" s="5"/>
      <c r="BK278" s="5"/>
      <c r="BL278" s="5"/>
      <c r="BM278" s="5"/>
      <c r="BN278" s="5"/>
      <c r="BO278" s="5"/>
      <c r="BP278" s="5"/>
      <c r="BQ278" s="43"/>
      <c r="BR278" s="43"/>
      <c r="BS278" s="43"/>
      <c r="BT278" s="44"/>
      <c r="BU278" s="43"/>
      <c r="BV278" s="5"/>
      <c r="BW278" s="43"/>
      <c r="BX278" s="43"/>
      <c r="BY278" s="43"/>
      <c r="BZ278" s="44"/>
      <c r="CA278" s="43"/>
      <c r="CB278" s="5"/>
      <c r="CC278" s="45"/>
      <c r="CD278" s="45"/>
      <c r="CE278" s="45"/>
      <c r="CF278" s="46"/>
      <c r="CG278" s="45"/>
      <c r="CH278" s="5"/>
      <c r="CI278" s="44"/>
      <c r="CJ278" s="44"/>
      <c r="CK278" s="44"/>
      <c r="CL278" s="44"/>
      <c r="CM278" s="44"/>
      <c r="CN278" s="47"/>
      <c r="CO278" s="5"/>
      <c r="CP278" s="47"/>
      <c r="CQ278" s="47"/>
      <c r="CR278" s="47"/>
      <c r="CS278" s="47"/>
      <c r="CT278" s="47"/>
      <c r="CU278" s="47"/>
    </row>
    <row r="279" spans="1:99" ht="15" customHeight="1">
      <c r="A279" s="5"/>
      <c r="B279" s="37" t="s">
        <v>442</v>
      </c>
      <c r="C279" s="37" t="s">
        <v>252</v>
      </c>
      <c r="D279" s="37" t="s">
        <v>253</v>
      </c>
      <c r="E279" s="26">
        <v>42551</v>
      </c>
      <c r="F279" s="26"/>
      <c r="G279" s="4">
        <f>45297+303371</f>
        <v>348668</v>
      </c>
      <c r="H279" s="4">
        <f>156426+2685+28773</f>
        <v>187884</v>
      </c>
      <c r="I279" s="4">
        <v>4665372</v>
      </c>
      <c r="J279" s="4">
        <v>4323593</v>
      </c>
      <c r="K279" s="4">
        <v>6889</v>
      </c>
      <c r="L279" s="4">
        <v>30144</v>
      </c>
      <c r="M279" s="4">
        <v>677438</v>
      </c>
      <c r="N279" s="4">
        <v>779993</v>
      </c>
      <c r="O279" s="4">
        <v>2075123</v>
      </c>
      <c r="P279" s="4">
        <f t="shared" si="235"/>
        <v>3562698</v>
      </c>
      <c r="Q279" s="4">
        <v>3181673</v>
      </c>
      <c r="R279" s="4">
        <v>381025</v>
      </c>
      <c r="S279" s="27">
        <v>418263</v>
      </c>
      <c r="T279" s="27">
        <v>59975</v>
      </c>
      <c r="U279" s="27">
        <v>3556269</v>
      </c>
      <c r="V279" s="27">
        <v>3547472</v>
      </c>
      <c r="W279" s="27">
        <v>-9939</v>
      </c>
      <c r="X279" s="27">
        <v>88895</v>
      </c>
      <c r="Y279" s="27">
        <v>0</v>
      </c>
      <c r="Z279" s="27">
        <v>0</v>
      </c>
      <c r="AA279" s="27">
        <f>153895-X279</f>
        <v>65000</v>
      </c>
      <c r="AB279" s="27">
        <f t="shared" si="241"/>
        <v>153895</v>
      </c>
      <c r="AC279" s="27"/>
      <c r="AD279" s="27"/>
      <c r="AE279" s="27"/>
      <c r="AF279" s="27"/>
      <c r="AG279" s="27"/>
      <c r="AH279" s="27"/>
      <c r="AI279" s="27"/>
      <c r="AJ279" s="28"/>
      <c r="AK279" s="27"/>
      <c r="AL279" s="27"/>
      <c r="AM279" s="27"/>
      <c r="AN279" s="92"/>
      <c r="AO279" s="29"/>
      <c r="AP279" s="29"/>
      <c r="AQ279" s="27">
        <v>0</v>
      </c>
      <c r="AR279" s="27">
        <v>0</v>
      </c>
      <c r="AS279" s="27">
        <v>0</v>
      </c>
      <c r="AT279" s="27">
        <v>0</v>
      </c>
      <c r="AU279" s="27">
        <v>0</v>
      </c>
      <c r="AV279" s="27">
        <v>0</v>
      </c>
      <c r="AW279" s="27">
        <v>138845</v>
      </c>
      <c r="AX279" s="27">
        <f>AS279+AT279+AU279+AV279+AW279</f>
        <v>138845</v>
      </c>
      <c r="AY279" s="27">
        <v>0</v>
      </c>
      <c r="AZ279" s="27">
        <v>290044</v>
      </c>
      <c r="BA279" s="27">
        <v>0</v>
      </c>
      <c r="BB279" s="27">
        <v>0</v>
      </c>
      <c r="BC279" s="27">
        <v>-129260</v>
      </c>
      <c r="BD279" s="27">
        <f t="shared" si="234"/>
        <v>160784</v>
      </c>
      <c r="BE279" s="29">
        <f t="shared" si="238"/>
        <v>0</v>
      </c>
      <c r="BF279" s="29">
        <f t="shared" si="239"/>
        <v>2.315047936640267</v>
      </c>
      <c r="BG279" s="29">
        <f t="shared" si="240"/>
        <v>4.3196195692141177E-2</v>
      </c>
      <c r="BH279" s="20"/>
      <c r="BI279" s="20"/>
      <c r="BJ279" s="5"/>
      <c r="BK279" s="5"/>
      <c r="BL279" s="5"/>
      <c r="BM279" s="5"/>
      <c r="BN279" s="5"/>
      <c r="BO279" s="5"/>
      <c r="BP279" s="5"/>
      <c r="BQ279" s="43"/>
      <c r="BR279" s="43"/>
      <c r="BS279" s="43"/>
      <c r="BT279" s="44"/>
      <c r="BU279" s="43"/>
      <c r="BV279" s="5"/>
      <c r="BW279" s="43"/>
      <c r="BX279" s="43"/>
      <c r="BY279" s="43"/>
      <c r="BZ279" s="44"/>
      <c r="CA279" s="43"/>
      <c r="CB279" s="5"/>
      <c r="CC279" s="45"/>
      <c r="CD279" s="45"/>
      <c r="CE279" s="45"/>
      <c r="CF279" s="46"/>
      <c r="CG279" s="45"/>
      <c r="CH279" s="5"/>
      <c r="CI279" s="44"/>
      <c r="CJ279" s="44"/>
      <c r="CK279" s="44"/>
      <c r="CL279" s="44"/>
      <c r="CM279" s="44"/>
      <c r="CN279" s="47"/>
      <c r="CO279" s="5"/>
      <c r="CP279" s="47"/>
      <c r="CQ279" s="47"/>
      <c r="CR279" s="47"/>
      <c r="CS279" s="47"/>
      <c r="CT279" s="47"/>
      <c r="CU279" s="47"/>
    </row>
    <row r="280" spans="1:99" ht="15" customHeight="1">
      <c r="A280" s="5"/>
      <c r="B280" s="37" t="s">
        <v>443</v>
      </c>
      <c r="C280" s="37" t="s">
        <v>252</v>
      </c>
      <c r="D280" s="37" t="s">
        <v>253</v>
      </c>
      <c r="E280" s="26">
        <v>42551</v>
      </c>
      <c r="F280" s="26"/>
      <c r="G280" s="4">
        <v>6890299</v>
      </c>
      <c r="H280" s="4">
        <v>1072233</v>
      </c>
      <c r="I280" s="4">
        <v>18557917</v>
      </c>
      <c r="J280" s="4">
        <v>13382512</v>
      </c>
      <c r="K280" s="4">
        <v>2982636</v>
      </c>
      <c r="L280" s="4">
        <v>189851</v>
      </c>
      <c r="M280" s="4">
        <v>398822</v>
      </c>
      <c r="N280" s="4">
        <f>2045140+2144</f>
        <v>2047284</v>
      </c>
      <c r="O280" s="4">
        <v>2970315</v>
      </c>
      <c r="P280" s="4">
        <f t="shared" si="235"/>
        <v>5606272</v>
      </c>
      <c r="Q280" s="4">
        <v>2287360</v>
      </c>
      <c r="R280" s="4">
        <v>0</v>
      </c>
      <c r="S280" s="27">
        <v>0</v>
      </c>
      <c r="T280" s="27">
        <v>0</v>
      </c>
      <c r="U280" s="27">
        <v>0</v>
      </c>
      <c r="V280" s="27">
        <v>0</v>
      </c>
      <c r="W280" s="27">
        <v>0</v>
      </c>
      <c r="X280" s="27">
        <v>46887</v>
      </c>
      <c r="Y280" s="27">
        <v>282307</v>
      </c>
      <c r="Z280" s="27">
        <v>100079</v>
      </c>
      <c r="AA280" s="27">
        <f>705280-X280-Y280-Z280</f>
        <v>276007</v>
      </c>
      <c r="AB280" s="27">
        <f t="shared" si="241"/>
        <v>705280</v>
      </c>
      <c r="AC280" s="27">
        <v>100079</v>
      </c>
      <c r="AD280" s="27">
        <v>0</v>
      </c>
      <c r="AE280" s="27">
        <f>AC280+AD280</f>
        <v>100079</v>
      </c>
      <c r="AF280" s="27">
        <v>0</v>
      </c>
      <c r="AG280" s="27">
        <v>54726</v>
      </c>
      <c r="AH280" s="27">
        <v>26278</v>
      </c>
      <c r="AI280" s="27">
        <v>51150</v>
      </c>
      <c r="AJ280" s="28">
        <v>41365</v>
      </c>
      <c r="AK280" s="27">
        <v>547294</v>
      </c>
      <c r="AL280" s="27">
        <v>752310</v>
      </c>
      <c r="AM280" s="27">
        <f>AK280-AL280</f>
        <v>-205016</v>
      </c>
      <c r="AN280" s="29">
        <f>AK280/AL280</f>
        <v>0.72748468051733994</v>
      </c>
      <c r="AO280" s="29">
        <v>0.04</v>
      </c>
      <c r="AP280" s="29">
        <v>2.5000000000000001E-2</v>
      </c>
      <c r="AQ280" s="27">
        <v>51526</v>
      </c>
      <c r="AR280" s="27">
        <v>51526</v>
      </c>
      <c r="AS280" s="27">
        <v>0</v>
      </c>
      <c r="AT280" s="27">
        <v>0</v>
      </c>
      <c r="AU280" s="27">
        <v>0</v>
      </c>
      <c r="AV280" s="27">
        <v>0</v>
      </c>
      <c r="AW280" s="27">
        <v>0</v>
      </c>
      <c r="AX280" s="27">
        <v>0</v>
      </c>
      <c r="AY280" s="27">
        <v>0</v>
      </c>
      <c r="AZ280" s="27">
        <v>0</v>
      </c>
      <c r="BA280" s="27">
        <v>0</v>
      </c>
      <c r="BB280" s="27">
        <v>0</v>
      </c>
      <c r="BC280" s="27">
        <v>0</v>
      </c>
      <c r="BD280" s="27">
        <f t="shared" si="234"/>
        <v>0</v>
      </c>
      <c r="BE280" s="29">
        <f t="shared" si="238"/>
        <v>9.1907777574830474E-3</v>
      </c>
      <c r="BF280" s="20" t="e">
        <f t="shared" si="239"/>
        <v>#DIV/0!</v>
      </c>
      <c r="BG280" s="29">
        <f t="shared" si="240"/>
        <v>7.5446392897098105E-2</v>
      </c>
      <c r="BH280" s="20"/>
      <c r="BI280" s="20"/>
      <c r="BJ280" s="5"/>
      <c r="BK280" s="5"/>
      <c r="BL280" s="5"/>
      <c r="BM280" s="5"/>
      <c r="BN280" s="5"/>
      <c r="BO280" s="5"/>
      <c r="BP280" s="5"/>
      <c r="BQ280" s="43"/>
      <c r="BR280" s="43"/>
      <c r="BS280" s="43"/>
      <c r="BT280" s="44"/>
      <c r="BU280" s="43"/>
      <c r="BV280" s="5"/>
      <c r="BW280" s="43"/>
      <c r="BX280" s="43"/>
      <c r="BY280" s="43"/>
      <c r="BZ280" s="44"/>
      <c r="CA280" s="43"/>
      <c r="CB280" s="5"/>
      <c r="CC280" s="45"/>
      <c r="CD280" s="45"/>
      <c r="CE280" s="45"/>
      <c r="CF280" s="46"/>
      <c r="CG280" s="45"/>
      <c r="CH280" s="5"/>
      <c r="CI280" s="44"/>
      <c r="CJ280" s="44"/>
      <c r="CK280" s="44"/>
      <c r="CL280" s="44"/>
      <c r="CM280" s="44"/>
      <c r="CN280" s="47"/>
      <c r="CO280" s="5"/>
      <c r="CP280" s="47"/>
      <c r="CQ280" s="47"/>
      <c r="CR280" s="47"/>
      <c r="CS280" s="47"/>
      <c r="CT280" s="47"/>
      <c r="CU280" s="47"/>
    </row>
    <row r="281" spans="1:99" ht="15" customHeight="1">
      <c r="A281" s="5"/>
      <c r="B281" s="37" t="s">
        <v>444</v>
      </c>
      <c r="C281" s="37" t="s">
        <v>252</v>
      </c>
      <c r="D281" s="37" t="s">
        <v>253</v>
      </c>
      <c r="E281" s="26">
        <v>42551</v>
      </c>
      <c r="F281" s="26"/>
      <c r="G281" s="4">
        <f>I281-287342-15512622</f>
        <v>640426</v>
      </c>
      <c r="H281" s="4">
        <v>1673102</v>
      </c>
      <c r="I281" s="4">
        <v>16440390</v>
      </c>
      <c r="J281" s="4">
        <v>14767288</v>
      </c>
      <c r="K281" s="4">
        <v>-1032676</v>
      </c>
      <c r="L281" s="4">
        <f>415+28358+74771</f>
        <v>103544</v>
      </c>
      <c r="M281" s="4">
        <v>2031789</v>
      </c>
      <c r="N281" s="4">
        <v>423710</v>
      </c>
      <c r="O281" s="4">
        <v>2395589</v>
      </c>
      <c r="P281" s="4">
        <f t="shared" si="235"/>
        <v>4954632</v>
      </c>
      <c r="Q281" s="4">
        <v>4332930</v>
      </c>
      <c r="R281" s="4">
        <v>621702</v>
      </c>
      <c r="S281" s="27">
        <v>278307</v>
      </c>
      <c r="T281" s="27">
        <v>13713</v>
      </c>
      <c r="U281" s="27">
        <v>4954632</v>
      </c>
      <c r="V281" s="27">
        <v>5143299</v>
      </c>
      <c r="W281" s="27">
        <v>-132788</v>
      </c>
      <c r="X281" s="27">
        <v>0</v>
      </c>
      <c r="Y281" s="27">
        <v>0</v>
      </c>
      <c r="Z281" s="27">
        <v>0</v>
      </c>
      <c r="AA281" s="27">
        <v>0</v>
      </c>
      <c r="AB281" s="27">
        <f t="shared" si="241"/>
        <v>0</v>
      </c>
      <c r="AC281" s="27"/>
      <c r="AD281" s="27"/>
      <c r="AE281" s="27"/>
      <c r="AF281" s="27"/>
      <c r="AG281" s="27"/>
      <c r="AH281" s="27"/>
      <c r="AI281" s="27"/>
      <c r="AJ281" s="28"/>
      <c r="AK281" s="27"/>
      <c r="AL281" s="27"/>
      <c r="AM281" s="27"/>
      <c r="AN281" s="92"/>
      <c r="AO281" s="29"/>
      <c r="AP281" s="29"/>
      <c r="AQ281" s="27">
        <v>0</v>
      </c>
      <c r="AR281" s="27">
        <v>0</v>
      </c>
      <c r="AS281" s="27">
        <v>0</v>
      </c>
      <c r="AT281" s="27">
        <v>0</v>
      </c>
      <c r="AU281" s="27">
        <v>0</v>
      </c>
      <c r="AV281" s="27">
        <v>0</v>
      </c>
      <c r="AW281" s="27">
        <v>28789</v>
      </c>
      <c r="AX281" s="27">
        <v>0</v>
      </c>
      <c r="AY281" s="27">
        <v>51089</v>
      </c>
      <c r="AZ281" s="27">
        <v>52945</v>
      </c>
      <c r="BA281" s="27">
        <v>0</v>
      </c>
      <c r="BB281" s="27">
        <v>13924</v>
      </c>
      <c r="BC281" s="27">
        <v>-1150634</v>
      </c>
      <c r="BD281" s="27">
        <f t="shared" si="234"/>
        <v>-1032676</v>
      </c>
      <c r="BE281" s="29">
        <f t="shared" si="238"/>
        <v>0</v>
      </c>
      <c r="BF281" s="29">
        <f t="shared" si="239"/>
        <v>0</v>
      </c>
      <c r="BG281" s="29">
        <f t="shared" si="240"/>
        <v>0</v>
      </c>
      <c r="BH281" s="20"/>
      <c r="BI281" s="20"/>
      <c r="BJ281" s="5"/>
      <c r="BK281" s="5"/>
      <c r="BL281" s="5"/>
      <c r="BM281" s="5"/>
      <c r="BN281" s="5"/>
      <c r="BO281" s="5"/>
      <c r="BP281" s="5"/>
      <c r="BQ281" s="43"/>
      <c r="BR281" s="43"/>
      <c r="BS281" s="43"/>
      <c r="BT281" s="44"/>
      <c r="BU281" s="43"/>
      <c r="BV281" s="5"/>
      <c r="BW281" s="43"/>
      <c r="BX281" s="43"/>
      <c r="BY281" s="43"/>
      <c r="BZ281" s="44"/>
      <c r="CA281" s="43"/>
      <c r="CB281" s="5"/>
      <c r="CC281" s="45"/>
      <c r="CD281" s="45"/>
      <c r="CE281" s="45"/>
      <c r="CF281" s="46"/>
      <c r="CG281" s="45"/>
      <c r="CH281" s="5"/>
      <c r="CI281" s="44"/>
      <c r="CJ281" s="44"/>
      <c r="CK281" s="44"/>
      <c r="CL281" s="44"/>
      <c r="CM281" s="44"/>
      <c r="CN281" s="47"/>
      <c r="CO281" s="5"/>
      <c r="CP281" s="47"/>
      <c r="CQ281" s="47"/>
      <c r="CR281" s="47"/>
      <c r="CS281" s="47"/>
      <c r="CT281" s="47"/>
      <c r="CU281" s="47"/>
    </row>
    <row r="282" spans="1:99" ht="15" customHeight="1">
      <c r="A282" s="5"/>
      <c r="B282" s="37" t="s">
        <v>445</v>
      </c>
      <c r="C282" s="37" t="s">
        <v>252</v>
      </c>
      <c r="D282" s="37" t="s">
        <v>253</v>
      </c>
      <c r="E282" s="26">
        <v>42551</v>
      </c>
      <c r="F282" s="26"/>
      <c r="G282" s="4">
        <v>198335</v>
      </c>
      <c r="H282" s="4">
        <v>42348</v>
      </c>
      <c r="I282" s="4">
        <v>287214</v>
      </c>
      <c r="J282" s="4">
        <v>244866</v>
      </c>
      <c r="K282" s="4">
        <v>155987</v>
      </c>
      <c r="L282" s="4">
        <v>6796</v>
      </c>
      <c r="M282" s="4">
        <v>0</v>
      </c>
      <c r="N282" s="4">
        <v>123930</v>
      </c>
      <c r="O282" s="4">
        <v>583754</v>
      </c>
      <c r="P282" s="4">
        <f t="shared" si="235"/>
        <v>714480</v>
      </c>
      <c r="Q282" s="4">
        <v>700086</v>
      </c>
      <c r="R282" s="4">
        <v>14394</v>
      </c>
      <c r="S282" s="27">
        <v>714480</v>
      </c>
      <c r="T282" s="27">
        <v>677044</v>
      </c>
      <c r="U282" s="27">
        <v>714480</v>
      </c>
      <c r="V282" s="27">
        <v>677044</v>
      </c>
      <c r="W282" s="27">
        <v>37436</v>
      </c>
      <c r="X282" s="27">
        <v>0</v>
      </c>
      <c r="Y282" s="27">
        <v>0</v>
      </c>
      <c r="Z282" s="27">
        <v>0</v>
      </c>
      <c r="AA282" s="27">
        <v>0</v>
      </c>
      <c r="AB282" s="27">
        <f t="shared" si="241"/>
        <v>0</v>
      </c>
      <c r="AC282" s="27"/>
      <c r="AD282" s="27"/>
      <c r="AE282" s="27"/>
      <c r="AF282" s="27"/>
      <c r="AG282" s="27"/>
      <c r="AH282" s="27"/>
      <c r="AI282" s="27"/>
      <c r="AJ282" s="28"/>
      <c r="AK282" s="27"/>
      <c r="AL282" s="27"/>
      <c r="AM282" s="27"/>
      <c r="AN282" s="27"/>
      <c r="AO282" s="27"/>
      <c r="AP282" s="27"/>
      <c r="AQ282" s="27">
        <v>0</v>
      </c>
      <c r="AR282" s="27">
        <v>0</v>
      </c>
      <c r="AS282" s="27">
        <v>0</v>
      </c>
      <c r="AT282" s="27">
        <v>0</v>
      </c>
      <c r="AU282" s="27">
        <v>0</v>
      </c>
      <c r="AV282" s="27">
        <v>0</v>
      </c>
      <c r="AW282" s="27">
        <v>155987</v>
      </c>
      <c r="AX282" s="27">
        <f>AS282+AT282+AU282+AV282+AW282</f>
        <v>155987</v>
      </c>
      <c r="AY282" s="27">
        <v>0</v>
      </c>
      <c r="AZ282" s="27">
        <v>0</v>
      </c>
      <c r="BA282" s="27">
        <v>0</v>
      </c>
      <c r="BB282" s="27">
        <v>0</v>
      </c>
      <c r="BC282" s="27">
        <v>155987</v>
      </c>
      <c r="BD282" s="27">
        <f t="shared" si="234"/>
        <v>155987</v>
      </c>
      <c r="BE282" s="29">
        <f t="shared" si="238"/>
        <v>0</v>
      </c>
      <c r="BF282" s="29">
        <f t="shared" si="239"/>
        <v>0.23039418412983498</v>
      </c>
      <c r="BG282" s="29">
        <f t="shared" si="240"/>
        <v>0</v>
      </c>
      <c r="BH282" s="20"/>
      <c r="BI282" s="20"/>
      <c r="BJ282" s="5"/>
      <c r="BK282" s="5"/>
      <c r="BL282" s="5"/>
      <c r="BM282" s="5"/>
      <c r="BN282" s="5"/>
      <c r="BO282" s="5"/>
      <c r="BP282" s="5"/>
      <c r="BQ282" s="43"/>
      <c r="BR282" s="43"/>
      <c r="BS282" s="43"/>
      <c r="BT282" s="44"/>
      <c r="BU282" s="43"/>
      <c r="BV282" s="5"/>
      <c r="BW282" s="43"/>
      <c r="BX282" s="43"/>
      <c r="BY282" s="43"/>
      <c r="BZ282" s="44"/>
      <c r="CA282" s="43"/>
      <c r="CB282" s="5"/>
      <c r="CC282" s="45"/>
      <c r="CD282" s="45"/>
      <c r="CE282" s="45"/>
      <c r="CF282" s="46"/>
      <c r="CG282" s="45"/>
      <c r="CH282" s="5"/>
      <c r="CI282" s="44"/>
      <c r="CJ282" s="44"/>
      <c r="CK282" s="44"/>
      <c r="CL282" s="44"/>
      <c r="CM282" s="44"/>
      <c r="CN282" s="47"/>
      <c r="CO282" s="5"/>
      <c r="CP282" s="47"/>
      <c r="CQ282" s="47"/>
      <c r="CR282" s="47"/>
      <c r="CS282" s="47"/>
      <c r="CT282" s="47"/>
      <c r="CU282" s="47"/>
    </row>
    <row r="283" spans="1:99" ht="15" customHeight="1">
      <c r="A283" s="5"/>
      <c r="B283" s="37" t="s">
        <v>446</v>
      </c>
      <c r="C283" s="37" t="s">
        <v>252</v>
      </c>
      <c r="D283" s="37" t="s">
        <v>253</v>
      </c>
      <c r="E283" s="26">
        <v>42735</v>
      </c>
      <c r="F283" s="26"/>
      <c r="G283" s="4">
        <v>1423790</v>
      </c>
      <c r="H283" s="4">
        <v>273454</v>
      </c>
      <c r="I283" s="4">
        <v>1440566</v>
      </c>
      <c r="J283" s="4">
        <v>1167112</v>
      </c>
      <c r="K283" s="4">
        <v>338290</v>
      </c>
      <c r="L283" s="4">
        <f>2177019-M283-N283-O283</f>
        <v>451812</v>
      </c>
      <c r="M283" s="4">
        <v>0</v>
      </c>
      <c r="N283" s="4">
        <v>22815</v>
      </c>
      <c r="O283" s="4">
        <v>1702392</v>
      </c>
      <c r="P283" s="4">
        <f t="shared" si="235"/>
        <v>2177019</v>
      </c>
      <c r="Q283" s="4">
        <v>1900662</v>
      </c>
      <c r="R283" s="4">
        <v>276357</v>
      </c>
      <c r="S283" s="27">
        <v>0</v>
      </c>
      <c r="T283" s="27">
        <v>0</v>
      </c>
      <c r="U283" s="27">
        <v>0</v>
      </c>
      <c r="V283" s="27">
        <v>0</v>
      </c>
      <c r="W283" s="27">
        <v>0</v>
      </c>
      <c r="X283" s="27">
        <v>0</v>
      </c>
      <c r="Y283" s="27">
        <v>0</v>
      </c>
      <c r="Z283" s="27">
        <v>0</v>
      </c>
      <c r="AA283" s="27">
        <v>0</v>
      </c>
      <c r="AB283" s="27">
        <f t="shared" si="241"/>
        <v>0</v>
      </c>
      <c r="AC283" s="27"/>
      <c r="AD283" s="27"/>
      <c r="AE283" s="27"/>
      <c r="AF283" s="27"/>
      <c r="AG283" s="27"/>
      <c r="AH283" s="27"/>
      <c r="AI283" s="27"/>
      <c r="AJ283" s="28"/>
      <c r="AK283" s="27"/>
      <c r="AL283" s="27"/>
      <c r="AM283" s="27"/>
      <c r="AN283" s="92"/>
      <c r="AO283" s="29"/>
      <c r="AP283" s="29"/>
      <c r="AQ283" s="27">
        <v>0</v>
      </c>
      <c r="AR283" s="27">
        <v>0</v>
      </c>
      <c r="AS283" s="27">
        <v>0</v>
      </c>
      <c r="AT283" s="27">
        <v>0</v>
      </c>
      <c r="AU283" s="27">
        <v>0</v>
      </c>
      <c r="AV283" s="27">
        <v>0</v>
      </c>
      <c r="AW283" s="27">
        <v>0</v>
      </c>
      <c r="AX283" s="27">
        <v>0</v>
      </c>
      <c r="AY283" s="27">
        <v>0</v>
      </c>
      <c r="AZ283" s="27">
        <v>0</v>
      </c>
      <c r="BA283" s="27">
        <v>0</v>
      </c>
      <c r="BB283" s="27">
        <v>0</v>
      </c>
      <c r="BC283" s="27">
        <v>0</v>
      </c>
      <c r="BD283" s="27">
        <f t="shared" si="234"/>
        <v>0</v>
      </c>
      <c r="BE283" s="29">
        <f t="shared" si="238"/>
        <v>0</v>
      </c>
      <c r="BF283" s="20" t="e">
        <f t="shared" si="239"/>
        <v>#DIV/0!</v>
      </c>
      <c r="BG283" s="29">
        <f t="shared" si="240"/>
        <v>0</v>
      </c>
      <c r="BH283" s="20"/>
      <c r="BI283" s="20"/>
      <c r="BJ283" s="5"/>
      <c r="BK283" s="5"/>
      <c r="BL283" s="5"/>
      <c r="BM283" s="5"/>
      <c r="BN283" s="5"/>
      <c r="BO283" s="5"/>
      <c r="BP283" s="5"/>
      <c r="BQ283" s="43"/>
      <c r="BR283" s="43"/>
      <c r="BS283" s="43"/>
      <c r="BT283" s="44"/>
      <c r="BU283" s="43"/>
      <c r="BV283" s="5"/>
      <c r="BW283" s="43"/>
      <c r="BX283" s="43"/>
      <c r="BY283" s="43"/>
      <c r="BZ283" s="44"/>
      <c r="CA283" s="43"/>
      <c r="CB283" s="5"/>
      <c r="CC283" s="45"/>
      <c r="CD283" s="45"/>
      <c r="CE283" s="45"/>
      <c r="CF283" s="46"/>
      <c r="CG283" s="45"/>
      <c r="CH283" s="5"/>
      <c r="CI283" s="44"/>
      <c r="CJ283" s="44"/>
      <c r="CK283" s="44"/>
      <c r="CL283" s="44"/>
      <c r="CM283" s="44"/>
      <c r="CN283" s="47"/>
      <c r="CO283" s="5"/>
      <c r="CP283" s="47"/>
      <c r="CQ283" s="47"/>
      <c r="CR283" s="47"/>
      <c r="CS283" s="47"/>
      <c r="CT283" s="47"/>
      <c r="CU283" s="47"/>
    </row>
    <row r="284" spans="1:99" ht="15" customHeight="1">
      <c r="A284" s="5"/>
      <c r="B284" s="37" t="s">
        <v>447</v>
      </c>
      <c r="C284" s="37" t="s">
        <v>252</v>
      </c>
      <c r="D284" s="37" t="s">
        <v>253</v>
      </c>
      <c r="E284" s="26">
        <v>42551</v>
      </c>
      <c r="F284" s="26"/>
      <c r="G284" s="4">
        <f>84383-407</f>
        <v>83976</v>
      </c>
      <c r="H284" s="4">
        <v>7894</v>
      </c>
      <c r="I284" s="4">
        <v>84383</v>
      </c>
      <c r="J284" s="4">
        <v>76489</v>
      </c>
      <c r="K284" s="4">
        <v>76489</v>
      </c>
      <c r="L284" s="4">
        <v>0</v>
      </c>
      <c r="M284" s="4">
        <v>0</v>
      </c>
      <c r="N284" s="4">
        <v>6</v>
      </c>
      <c r="O284" s="4">
        <v>581553</v>
      </c>
      <c r="P284" s="4">
        <f t="shared" si="235"/>
        <v>581559</v>
      </c>
      <c r="Q284" s="4">
        <v>524352</v>
      </c>
      <c r="R284" s="4">
        <v>76489</v>
      </c>
      <c r="S284" s="27">
        <v>0</v>
      </c>
      <c r="T284" s="27">
        <v>0</v>
      </c>
      <c r="U284" s="27">
        <v>0</v>
      </c>
      <c r="V284" s="27">
        <v>0</v>
      </c>
      <c r="W284" s="27">
        <v>0</v>
      </c>
      <c r="X284" s="27">
        <v>0</v>
      </c>
      <c r="Y284" s="27">
        <v>0</v>
      </c>
      <c r="Z284" s="27">
        <v>0</v>
      </c>
      <c r="AA284" s="27">
        <v>0</v>
      </c>
      <c r="AB284" s="27">
        <f t="shared" si="241"/>
        <v>0</v>
      </c>
      <c r="AC284" s="27"/>
      <c r="AD284" s="27"/>
      <c r="AE284" s="27"/>
      <c r="AF284" s="27"/>
      <c r="AG284" s="27"/>
      <c r="AH284" s="27"/>
      <c r="AI284" s="27"/>
      <c r="AJ284" s="28"/>
      <c r="AK284" s="27"/>
      <c r="AL284" s="27"/>
      <c r="AM284" s="27"/>
      <c r="AN284" s="27"/>
      <c r="AO284" s="27"/>
      <c r="AP284" s="27"/>
      <c r="AQ284" s="27">
        <v>0</v>
      </c>
      <c r="AR284" s="27">
        <v>0</v>
      </c>
      <c r="AS284" s="27">
        <v>0</v>
      </c>
      <c r="AT284" s="27">
        <v>0</v>
      </c>
      <c r="AU284" s="27">
        <v>0</v>
      </c>
      <c r="AV284" s="27">
        <v>0</v>
      </c>
      <c r="AW284" s="27">
        <v>0</v>
      </c>
      <c r="AX284" s="27">
        <v>0</v>
      </c>
      <c r="AY284" s="27">
        <v>0</v>
      </c>
      <c r="AZ284" s="27">
        <v>0</v>
      </c>
      <c r="BA284" s="27">
        <v>0</v>
      </c>
      <c r="BB284" s="27">
        <v>0</v>
      </c>
      <c r="BC284" s="27">
        <v>0</v>
      </c>
      <c r="BD284" s="27">
        <v>0</v>
      </c>
      <c r="BE284" s="29">
        <f t="shared" si="238"/>
        <v>0</v>
      </c>
      <c r="BF284" s="20" t="e">
        <f t="shared" si="239"/>
        <v>#DIV/0!</v>
      </c>
      <c r="BG284" s="29">
        <f t="shared" si="240"/>
        <v>0</v>
      </c>
      <c r="BH284" s="20"/>
      <c r="BI284" s="20"/>
      <c r="BJ284" s="5"/>
      <c r="BK284" s="5"/>
      <c r="BL284" s="5"/>
      <c r="BM284" s="5"/>
      <c r="BN284" s="5"/>
      <c r="BO284" s="5"/>
      <c r="BP284" s="5"/>
      <c r="BQ284" s="43"/>
      <c r="BR284" s="43"/>
      <c r="BS284" s="43"/>
      <c r="BT284" s="44"/>
      <c r="BU284" s="43"/>
      <c r="BV284" s="5"/>
      <c r="BW284" s="43"/>
      <c r="BX284" s="43"/>
      <c r="BY284" s="43"/>
      <c r="BZ284" s="44"/>
      <c r="CA284" s="43"/>
      <c r="CB284" s="5"/>
      <c r="CC284" s="45"/>
      <c r="CD284" s="45"/>
      <c r="CE284" s="45"/>
      <c r="CF284" s="46"/>
      <c r="CG284" s="45"/>
      <c r="CH284" s="5"/>
      <c r="CI284" s="44"/>
      <c r="CJ284" s="44"/>
      <c r="CK284" s="44"/>
      <c r="CL284" s="44"/>
      <c r="CM284" s="44"/>
      <c r="CN284" s="47"/>
      <c r="CO284" s="5"/>
      <c r="CP284" s="47"/>
      <c r="CQ284" s="47"/>
      <c r="CR284" s="47"/>
      <c r="CS284" s="47"/>
      <c r="CT284" s="47"/>
      <c r="CU284" s="47"/>
    </row>
    <row r="285" spans="1:99" ht="15" customHeight="1">
      <c r="A285" s="5"/>
      <c r="B285" s="37" t="s">
        <v>448</v>
      </c>
      <c r="C285" s="37" t="s">
        <v>252</v>
      </c>
      <c r="D285" s="37" t="s">
        <v>253</v>
      </c>
      <c r="E285" s="26">
        <v>42551</v>
      </c>
      <c r="F285" s="26"/>
      <c r="G285" s="4">
        <f>I285-4131790-531393</f>
        <v>1704404</v>
      </c>
      <c r="H285" s="4">
        <v>80133</v>
      </c>
      <c r="I285" s="4">
        <v>6367587</v>
      </c>
      <c r="J285" s="4">
        <v>6287454</v>
      </c>
      <c r="K285" s="4">
        <v>4663183</v>
      </c>
      <c r="L285" s="4">
        <v>1447021</v>
      </c>
      <c r="M285" s="4">
        <v>0</v>
      </c>
      <c r="N285" s="4">
        <v>107465</v>
      </c>
      <c r="O285" s="4">
        <v>0</v>
      </c>
      <c r="P285" s="4">
        <f t="shared" si="235"/>
        <v>1554486</v>
      </c>
      <c r="Q285" s="4">
        <v>1535004</v>
      </c>
      <c r="R285" s="4">
        <v>19482</v>
      </c>
      <c r="S285" s="27">
        <v>1502925</v>
      </c>
      <c r="T285" s="27">
        <v>1259875</v>
      </c>
      <c r="U285" s="27">
        <v>1505433</v>
      </c>
      <c r="V285" s="27">
        <v>1412007</v>
      </c>
      <c r="W285" s="27">
        <v>84397</v>
      </c>
      <c r="X285" s="27">
        <v>0</v>
      </c>
      <c r="Y285" s="27">
        <v>0</v>
      </c>
      <c r="Z285" s="27">
        <v>0</v>
      </c>
      <c r="AA285" s="27">
        <v>0</v>
      </c>
      <c r="AB285" s="27">
        <f t="shared" si="241"/>
        <v>0</v>
      </c>
      <c r="AC285" s="27"/>
      <c r="AD285" s="27"/>
      <c r="AE285" s="27"/>
      <c r="AF285" s="27"/>
      <c r="AG285" s="27"/>
      <c r="AH285" s="27"/>
      <c r="AI285" s="27"/>
      <c r="AJ285" s="28"/>
      <c r="AK285" s="27"/>
      <c r="AL285" s="27"/>
      <c r="AM285" s="27"/>
      <c r="AN285" s="27"/>
      <c r="AO285" s="27"/>
      <c r="AP285" s="27"/>
      <c r="AQ285" s="27">
        <v>0</v>
      </c>
      <c r="AR285" s="27">
        <v>0</v>
      </c>
      <c r="AS285" s="27">
        <v>0</v>
      </c>
      <c r="AT285" s="27">
        <v>0</v>
      </c>
      <c r="AU285" s="27">
        <v>0</v>
      </c>
      <c r="AV285" s="27">
        <v>0</v>
      </c>
      <c r="AW285" s="27">
        <v>0</v>
      </c>
      <c r="AX285" s="27">
        <v>0</v>
      </c>
      <c r="AY285" s="27">
        <v>0</v>
      </c>
      <c r="AZ285" s="27">
        <v>0</v>
      </c>
      <c r="BA285" s="27">
        <v>0</v>
      </c>
      <c r="BB285" s="27">
        <v>0</v>
      </c>
      <c r="BC285" s="27">
        <v>0</v>
      </c>
      <c r="BD285" s="27">
        <f>AY285+AZ285+BA285+BB285+BC285</f>
        <v>0</v>
      </c>
      <c r="BE285" s="29">
        <f t="shared" si="238"/>
        <v>0</v>
      </c>
      <c r="BF285" s="29">
        <f t="shared" si="239"/>
        <v>0</v>
      </c>
      <c r="BG285" s="29">
        <f t="shared" si="240"/>
        <v>0</v>
      </c>
      <c r="BH285" s="20"/>
      <c r="BI285" s="20"/>
      <c r="BJ285" s="5"/>
      <c r="BK285" s="5"/>
      <c r="BL285" s="5"/>
      <c r="BM285" s="5"/>
      <c r="BN285" s="5"/>
      <c r="BO285" s="5"/>
      <c r="BP285" s="5"/>
      <c r="BQ285" s="43"/>
      <c r="BR285" s="43"/>
      <c r="BS285" s="43"/>
      <c r="BT285" s="44"/>
      <c r="BU285" s="43"/>
      <c r="BV285" s="5"/>
      <c r="BW285" s="43"/>
      <c r="BX285" s="43"/>
      <c r="BY285" s="43"/>
      <c r="BZ285" s="44"/>
      <c r="CA285" s="43"/>
      <c r="CB285" s="5"/>
      <c r="CC285" s="45"/>
      <c r="CD285" s="45"/>
      <c r="CE285" s="45"/>
      <c r="CF285" s="46"/>
      <c r="CG285" s="45"/>
      <c r="CH285" s="5"/>
      <c r="CI285" s="44"/>
      <c r="CJ285" s="44"/>
      <c r="CK285" s="44"/>
      <c r="CL285" s="44"/>
      <c r="CM285" s="44"/>
      <c r="CN285" s="47"/>
      <c r="CO285" s="5"/>
      <c r="CP285" s="47"/>
      <c r="CQ285" s="47"/>
      <c r="CR285" s="47"/>
      <c r="CS285" s="47"/>
      <c r="CT285" s="47"/>
      <c r="CU285" s="47"/>
    </row>
    <row r="286" spans="1:99" ht="15" customHeight="1">
      <c r="A286" s="5"/>
      <c r="B286" s="37" t="s">
        <v>449</v>
      </c>
      <c r="C286" s="37" t="s">
        <v>252</v>
      </c>
      <c r="D286" s="37" t="s">
        <v>253</v>
      </c>
      <c r="E286" s="26">
        <v>42551</v>
      </c>
      <c r="F286" s="26"/>
      <c r="G286" s="4">
        <f>I286-181189</f>
        <v>155423</v>
      </c>
      <c r="H286" s="4">
        <v>26213</v>
      </c>
      <c r="I286" s="4">
        <v>336612</v>
      </c>
      <c r="J286" s="4">
        <v>310399</v>
      </c>
      <c r="K286" s="4">
        <v>17226</v>
      </c>
      <c r="L286" s="4">
        <v>228186</v>
      </c>
      <c r="M286" s="4">
        <v>0</v>
      </c>
      <c r="N286" s="4">
        <f>12000+927+2025</f>
        <v>14952</v>
      </c>
      <c r="O286" s="4">
        <v>0</v>
      </c>
      <c r="P286" s="4">
        <f t="shared" si="235"/>
        <v>243138</v>
      </c>
      <c r="Q286" s="4">
        <v>213546</v>
      </c>
      <c r="R286" s="4">
        <v>29592</v>
      </c>
      <c r="S286" s="27">
        <v>228186</v>
      </c>
      <c r="T286" s="27">
        <v>195736</v>
      </c>
      <c r="U286" s="27">
        <v>243138</v>
      </c>
      <c r="V286" s="27">
        <v>205396</v>
      </c>
      <c r="W286" s="27">
        <v>14043</v>
      </c>
      <c r="X286" s="27">
        <v>0</v>
      </c>
      <c r="Y286" s="27">
        <v>0</v>
      </c>
      <c r="Z286" s="27">
        <v>0</v>
      </c>
      <c r="AA286" s="27">
        <v>0</v>
      </c>
      <c r="AB286" s="27">
        <f t="shared" si="241"/>
        <v>0</v>
      </c>
      <c r="AC286" s="27"/>
      <c r="AD286" s="27"/>
      <c r="AE286" s="27"/>
      <c r="AF286" s="27"/>
      <c r="AG286" s="27"/>
      <c r="AH286" s="27"/>
      <c r="AI286" s="27"/>
      <c r="AJ286" s="28"/>
      <c r="AK286" s="27"/>
      <c r="AL286" s="27"/>
      <c r="AM286" s="27"/>
      <c r="AN286" s="27"/>
      <c r="AO286" s="27"/>
      <c r="AP286" s="27"/>
      <c r="AQ286" s="27">
        <v>0</v>
      </c>
      <c r="AR286" s="27">
        <v>0</v>
      </c>
      <c r="AS286" s="27">
        <v>0</v>
      </c>
      <c r="AT286" s="27">
        <v>0</v>
      </c>
      <c r="AU286" s="27">
        <v>0</v>
      </c>
      <c r="AV286" s="27">
        <v>0</v>
      </c>
      <c r="AW286" s="27">
        <v>0</v>
      </c>
      <c r="AX286" s="27">
        <v>0</v>
      </c>
      <c r="AY286" s="27">
        <v>0</v>
      </c>
      <c r="AZ286" s="27">
        <v>0</v>
      </c>
      <c r="BA286" s="27">
        <v>0</v>
      </c>
      <c r="BB286" s="27">
        <v>0</v>
      </c>
      <c r="BC286" s="27">
        <v>0</v>
      </c>
      <c r="BD286" s="27">
        <f>AY286+AZ286+BA286+BB286+BC286</f>
        <v>0</v>
      </c>
      <c r="BE286" s="29">
        <f t="shared" si="238"/>
        <v>0</v>
      </c>
      <c r="BF286" s="29">
        <f t="shared" si="239"/>
        <v>0</v>
      </c>
      <c r="BG286" s="29">
        <f t="shared" si="240"/>
        <v>0</v>
      </c>
      <c r="BH286" s="20"/>
      <c r="BI286" s="20"/>
      <c r="BJ286" s="5"/>
      <c r="BK286" s="5"/>
      <c r="BL286" s="5"/>
      <c r="BM286" s="5"/>
      <c r="BN286" s="5"/>
      <c r="BO286" s="5"/>
      <c r="BP286" s="5"/>
      <c r="BQ286" s="43"/>
      <c r="BR286" s="43"/>
      <c r="BS286" s="43"/>
      <c r="BT286" s="44"/>
      <c r="BU286" s="43"/>
      <c r="BV286" s="5"/>
      <c r="BW286" s="43"/>
      <c r="BX286" s="43"/>
      <c r="BY286" s="43"/>
      <c r="BZ286" s="44"/>
      <c r="CA286" s="43"/>
      <c r="CB286" s="5"/>
      <c r="CC286" s="45"/>
      <c r="CD286" s="45"/>
      <c r="CE286" s="45"/>
      <c r="CF286" s="46"/>
      <c r="CG286" s="45"/>
      <c r="CH286" s="5"/>
      <c r="CI286" s="44"/>
      <c r="CJ286" s="44"/>
      <c r="CK286" s="44"/>
      <c r="CL286" s="44"/>
      <c r="CM286" s="44"/>
      <c r="CN286" s="47"/>
      <c r="CO286" s="5"/>
      <c r="CP286" s="47"/>
      <c r="CQ286" s="47"/>
      <c r="CR286" s="47"/>
      <c r="CS286" s="47"/>
      <c r="CT286" s="47"/>
      <c r="CU286" s="47"/>
    </row>
    <row r="287" spans="1:99" ht="15" customHeight="1">
      <c r="A287" s="5"/>
      <c r="B287" s="37" t="s">
        <v>450</v>
      </c>
      <c r="C287" s="37" t="s">
        <v>252</v>
      </c>
      <c r="D287" s="37" t="s">
        <v>253</v>
      </c>
      <c r="E287" s="26">
        <v>42551</v>
      </c>
      <c r="F287" s="26"/>
      <c r="G287" s="4">
        <v>209754</v>
      </c>
      <c r="H287" s="4">
        <v>128590</v>
      </c>
      <c r="I287" s="4">
        <v>1411964</v>
      </c>
      <c r="J287" s="4">
        <v>1283374</v>
      </c>
      <c r="K287" s="4">
        <v>81164</v>
      </c>
      <c r="L287" s="4">
        <f>21222+9</f>
        <v>21231</v>
      </c>
      <c r="M287" s="4">
        <v>42500</v>
      </c>
      <c r="N287" s="4">
        <v>337133</v>
      </c>
      <c r="O287" s="4">
        <v>1181554</v>
      </c>
      <c r="P287" s="4">
        <f t="shared" si="235"/>
        <v>1582418</v>
      </c>
      <c r="Q287" s="4">
        <v>1719188</v>
      </c>
      <c r="R287" s="4">
        <v>-139803</v>
      </c>
      <c r="S287" s="27">
        <v>0</v>
      </c>
      <c r="T287" s="27">
        <v>0</v>
      </c>
      <c r="U287" s="27">
        <v>0</v>
      </c>
      <c r="V287" s="27">
        <v>0</v>
      </c>
      <c r="W287" s="27">
        <v>0</v>
      </c>
      <c r="X287" s="27">
        <v>0</v>
      </c>
      <c r="Y287" s="27">
        <v>0</v>
      </c>
      <c r="Z287" s="27">
        <v>0</v>
      </c>
      <c r="AA287" s="27">
        <v>0</v>
      </c>
      <c r="AB287" s="27">
        <f t="shared" si="241"/>
        <v>0</v>
      </c>
      <c r="AC287" s="27"/>
      <c r="AD287" s="27"/>
      <c r="AE287" s="27"/>
      <c r="AF287" s="27"/>
      <c r="AG287" s="27"/>
      <c r="AH287" s="27"/>
      <c r="AI287" s="27"/>
      <c r="AJ287" s="28"/>
      <c r="AK287" s="27"/>
      <c r="AL287" s="27"/>
      <c r="AM287" s="27"/>
      <c r="AN287" s="27"/>
      <c r="AO287" s="27"/>
      <c r="AP287" s="27"/>
      <c r="AQ287" s="27">
        <v>0</v>
      </c>
      <c r="AR287" s="27">
        <v>0</v>
      </c>
      <c r="AS287" s="27">
        <v>0</v>
      </c>
      <c r="AT287" s="27">
        <v>0</v>
      </c>
      <c r="AU287" s="27">
        <v>0</v>
      </c>
      <c r="AV287" s="27">
        <v>0</v>
      </c>
      <c r="AW287" s="27">
        <v>0</v>
      </c>
      <c r="AX287" s="27">
        <v>0</v>
      </c>
      <c r="AY287" s="27">
        <v>0</v>
      </c>
      <c r="AZ287" s="27">
        <v>0</v>
      </c>
      <c r="BA287" s="27">
        <v>0</v>
      </c>
      <c r="BB287" s="27">
        <v>0</v>
      </c>
      <c r="BC287" s="27">
        <v>0</v>
      </c>
      <c r="BD287" s="27">
        <f>AY287+AZ287+BA287+BB287+BC287</f>
        <v>0</v>
      </c>
      <c r="BE287" s="29">
        <f t="shared" si="238"/>
        <v>0</v>
      </c>
      <c r="BF287" s="20" t="e">
        <f t="shared" si="239"/>
        <v>#DIV/0!</v>
      </c>
      <c r="BG287" s="29">
        <f t="shared" si="240"/>
        <v>0</v>
      </c>
      <c r="BH287" s="20"/>
      <c r="BI287" s="20"/>
      <c r="BJ287" s="5"/>
      <c r="BK287" s="5"/>
      <c r="BL287" s="5"/>
      <c r="BM287" s="5"/>
      <c r="BN287" s="5"/>
      <c r="BO287" s="5"/>
      <c r="BP287" s="5"/>
      <c r="BQ287" s="43"/>
      <c r="BR287" s="43"/>
      <c r="BS287" s="43"/>
      <c r="BT287" s="44"/>
      <c r="BU287" s="43"/>
      <c r="BV287" s="5"/>
      <c r="BW287" s="43"/>
      <c r="BX287" s="43"/>
      <c r="BY287" s="43"/>
      <c r="BZ287" s="44"/>
      <c r="CA287" s="43"/>
      <c r="CB287" s="5"/>
      <c r="CC287" s="45"/>
      <c r="CD287" s="45"/>
      <c r="CE287" s="45"/>
      <c r="CF287" s="46"/>
      <c r="CG287" s="45"/>
      <c r="CH287" s="5"/>
      <c r="CI287" s="44"/>
      <c r="CJ287" s="44"/>
      <c r="CK287" s="44"/>
      <c r="CL287" s="44"/>
      <c r="CM287" s="44"/>
      <c r="CN287" s="47"/>
      <c r="CO287" s="5"/>
      <c r="CP287" s="47"/>
      <c r="CQ287" s="47"/>
      <c r="CR287" s="47"/>
      <c r="CS287" s="47"/>
      <c r="CT287" s="47"/>
      <c r="CU287" s="47"/>
    </row>
    <row r="288" spans="1:99" ht="15" customHeight="1">
      <c r="A288" s="5"/>
      <c r="B288" s="37" t="s">
        <v>451</v>
      </c>
      <c r="C288" s="37" t="s">
        <v>252</v>
      </c>
      <c r="D288" s="37" t="s">
        <v>253</v>
      </c>
      <c r="E288" s="26">
        <v>42551</v>
      </c>
      <c r="F288" s="26"/>
      <c r="G288" s="4">
        <v>1645664</v>
      </c>
      <c r="H288" s="4">
        <v>284230</v>
      </c>
      <c r="I288" s="4">
        <v>6535178</v>
      </c>
      <c r="J288" s="4">
        <v>5702166</v>
      </c>
      <c r="K288" s="4">
        <v>1356321</v>
      </c>
      <c r="L288" s="4">
        <f>15773+37612</f>
        <v>53385</v>
      </c>
      <c r="M288" s="4">
        <v>0</v>
      </c>
      <c r="N288" s="4">
        <v>2032322</v>
      </c>
      <c r="O288" s="4">
        <v>0</v>
      </c>
      <c r="P288" s="4">
        <f t="shared" si="235"/>
        <v>2085707</v>
      </c>
      <c r="Q288" s="4">
        <v>1771118</v>
      </c>
      <c r="R288" s="4">
        <v>314589</v>
      </c>
      <c r="S288" s="27">
        <v>0</v>
      </c>
      <c r="T288" s="27">
        <v>0</v>
      </c>
      <c r="U288" s="27">
        <v>0</v>
      </c>
      <c r="V288" s="27">
        <v>0</v>
      </c>
      <c r="W288" s="27">
        <v>0</v>
      </c>
      <c r="X288" s="27">
        <v>136667</v>
      </c>
      <c r="Y288" s="27">
        <v>99825</v>
      </c>
      <c r="Z288" s="27">
        <v>0</v>
      </c>
      <c r="AA288" s="27">
        <f>749138-Y288-X288</f>
        <v>512646</v>
      </c>
      <c r="AB288" s="27">
        <f t="shared" si="241"/>
        <v>749138</v>
      </c>
      <c r="AC288" s="27"/>
      <c r="AD288" s="27"/>
      <c r="AE288" s="27"/>
      <c r="AF288" s="27"/>
      <c r="AG288" s="27"/>
      <c r="AH288" s="27"/>
      <c r="AI288" s="27"/>
      <c r="AJ288" s="28"/>
      <c r="AK288" s="27"/>
      <c r="AL288" s="27"/>
      <c r="AM288" s="27"/>
      <c r="AN288" s="27"/>
      <c r="AO288" s="27"/>
      <c r="AP288" s="27"/>
      <c r="AQ288" s="27">
        <v>48340</v>
      </c>
      <c r="AR288" s="27">
        <v>48340</v>
      </c>
      <c r="AS288" s="27">
        <v>0</v>
      </c>
      <c r="AT288" s="27">
        <v>0</v>
      </c>
      <c r="AU288" s="27">
        <v>0</v>
      </c>
      <c r="AV288" s="27">
        <v>0</v>
      </c>
      <c r="AW288" s="27">
        <v>0</v>
      </c>
      <c r="AX288" s="27">
        <v>0</v>
      </c>
      <c r="AY288" s="27">
        <v>0</v>
      </c>
      <c r="AZ288" s="27">
        <v>0</v>
      </c>
      <c r="BA288" s="27">
        <v>0</v>
      </c>
      <c r="BB288" s="27">
        <v>0</v>
      </c>
      <c r="BC288" s="27">
        <v>0</v>
      </c>
      <c r="BD288" s="27">
        <v>0</v>
      </c>
      <c r="BE288" s="29">
        <f t="shared" si="238"/>
        <v>2.3176793288798476E-2</v>
      </c>
      <c r="BF288" s="20" t="e">
        <f t="shared" si="239"/>
        <v>#DIV/0!</v>
      </c>
      <c r="BG288" s="29">
        <f t="shared" si="240"/>
        <v>0.31131553952688462</v>
      </c>
      <c r="BH288" s="20"/>
      <c r="BI288" s="20"/>
      <c r="BJ288" s="5"/>
      <c r="BK288" s="5"/>
      <c r="BL288" s="5"/>
      <c r="BM288" s="5"/>
      <c r="BN288" s="5"/>
      <c r="BO288" s="5"/>
      <c r="BP288" s="5"/>
      <c r="BQ288" s="43"/>
      <c r="BR288" s="43"/>
      <c r="BS288" s="43"/>
      <c r="BT288" s="44"/>
      <c r="BU288" s="43"/>
      <c r="BV288" s="5"/>
      <c r="BW288" s="43"/>
      <c r="BX288" s="43"/>
      <c r="BY288" s="43"/>
      <c r="BZ288" s="44"/>
      <c r="CA288" s="43"/>
      <c r="CB288" s="5"/>
      <c r="CC288" s="45"/>
      <c r="CD288" s="45"/>
      <c r="CE288" s="45"/>
      <c r="CF288" s="46"/>
      <c r="CG288" s="45"/>
      <c r="CH288" s="5"/>
      <c r="CI288" s="44"/>
      <c r="CJ288" s="44"/>
      <c r="CK288" s="44"/>
      <c r="CL288" s="44"/>
      <c r="CM288" s="44"/>
      <c r="CN288" s="47"/>
      <c r="CO288" s="5"/>
      <c r="CP288" s="47"/>
      <c r="CQ288" s="47"/>
      <c r="CR288" s="47"/>
      <c r="CS288" s="47"/>
      <c r="CT288" s="47"/>
      <c r="CU288" s="47"/>
    </row>
    <row r="289" spans="1:99" ht="15" customHeight="1">
      <c r="A289" s="5"/>
      <c r="B289" s="37" t="s">
        <v>452</v>
      </c>
      <c r="C289" s="37" t="s">
        <v>252</v>
      </c>
      <c r="D289" s="37" t="s">
        <v>253</v>
      </c>
      <c r="E289" s="26">
        <v>42551</v>
      </c>
      <c r="F289" s="26"/>
      <c r="G289" s="4">
        <f>24591216+437666</f>
        <v>25028882</v>
      </c>
      <c r="H289" s="4">
        <f>889423+2919253</f>
        <v>3808676</v>
      </c>
      <c r="I289" s="4">
        <v>112097026</v>
      </c>
      <c r="J289" s="4">
        <v>-30292216</v>
      </c>
      <c r="K289" s="4">
        <v>-45432592</v>
      </c>
      <c r="L289" s="4">
        <v>13280345</v>
      </c>
      <c r="M289" s="4">
        <v>0</v>
      </c>
      <c r="N289" s="4">
        <v>0</v>
      </c>
      <c r="O289" s="4">
        <v>0</v>
      </c>
      <c r="P289" s="4">
        <f>L289+M289+N289+O289</f>
        <v>13280345</v>
      </c>
      <c r="Q289" s="4">
        <v>17045604</v>
      </c>
      <c r="R289" s="4">
        <f t="shared" ref="R289:R307" si="242">P289-Q289</f>
        <v>-3765259</v>
      </c>
      <c r="S289" s="27">
        <v>6567421</v>
      </c>
      <c r="T289" s="27">
        <v>107386</v>
      </c>
      <c r="U289" s="27">
        <v>13280345</v>
      </c>
      <c r="V289" s="27">
        <v>14502607</v>
      </c>
      <c r="W289" s="27">
        <v>-1187</v>
      </c>
      <c r="X289" s="27">
        <v>1235951</v>
      </c>
      <c r="Y289" s="27">
        <v>0</v>
      </c>
      <c r="Z289" s="27">
        <v>0</v>
      </c>
      <c r="AA289" s="27">
        <f>138580566-X289-Y289-Z289</f>
        <v>137344615</v>
      </c>
      <c r="AB289" s="27">
        <f t="shared" si="241"/>
        <v>138580566</v>
      </c>
      <c r="AC289" s="27"/>
      <c r="AD289" s="27"/>
      <c r="AE289" s="27"/>
      <c r="AF289" s="27"/>
      <c r="AG289" s="27"/>
      <c r="AH289" s="27"/>
      <c r="AI289" s="27"/>
      <c r="AJ289" s="28"/>
      <c r="AK289" s="20"/>
      <c r="AL289" s="20"/>
      <c r="AM289" s="20"/>
      <c r="AN289" s="20"/>
      <c r="AO289" s="20"/>
      <c r="AP289" s="20"/>
      <c r="AQ289" s="27"/>
      <c r="AR289" s="27"/>
      <c r="AS289" s="27">
        <v>0</v>
      </c>
      <c r="AT289" s="27">
        <v>0</v>
      </c>
      <c r="AU289" s="27">
        <v>0</v>
      </c>
      <c r="AV289" s="27">
        <v>0</v>
      </c>
      <c r="AW289" s="27">
        <v>46471</v>
      </c>
      <c r="AX289" s="27">
        <f>AS289+AT289+AU289+AV289+AW289</f>
        <v>46471</v>
      </c>
      <c r="AY289" s="27">
        <v>0</v>
      </c>
      <c r="AZ289" s="27">
        <v>15140376</v>
      </c>
      <c r="BA289" s="27">
        <v>8952612</v>
      </c>
      <c r="BB289" s="27">
        <v>0</v>
      </c>
      <c r="BC289" s="27">
        <v>46471</v>
      </c>
      <c r="BD289" s="27">
        <f>SUM(AY289:BC289)</f>
        <v>24139459</v>
      </c>
      <c r="BE289" s="29">
        <f t="shared" si="238"/>
        <v>0</v>
      </c>
      <c r="BF289" s="29">
        <f t="shared" si="239"/>
        <v>0.43274728549345354</v>
      </c>
      <c r="BG289" s="29">
        <f t="shared" si="240"/>
        <v>10.435012494027829</v>
      </c>
      <c r="BH289" s="20"/>
      <c r="BI289" s="20"/>
      <c r="BJ289" s="5"/>
      <c r="BK289" s="5"/>
      <c r="BL289" s="5"/>
      <c r="BM289" s="5"/>
      <c r="BN289" s="5"/>
      <c r="BO289" s="5"/>
      <c r="BP289" s="5"/>
      <c r="BQ289" s="43"/>
      <c r="BR289" s="43"/>
      <c r="BS289" s="43"/>
      <c r="BT289" s="44"/>
      <c r="BU289" s="43"/>
      <c r="BV289" s="5"/>
      <c r="BW289" s="43"/>
      <c r="BX289" s="43"/>
      <c r="BY289" s="43"/>
      <c r="BZ289" s="44"/>
      <c r="CA289" s="43"/>
      <c r="CB289" s="5"/>
      <c r="CC289" s="45"/>
      <c r="CD289" s="45"/>
      <c r="CE289" s="45"/>
      <c r="CF289" s="46"/>
      <c r="CG289" s="45"/>
      <c r="CH289" s="5"/>
      <c r="CI289" s="44"/>
      <c r="CJ289" s="44"/>
      <c r="CK289" s="44"/>
      <c r="CL289" s="44"/>
      <c r="CM289" s="44"/>
      <c r="CN289" s="47"/>
      <c r="CO289" s="5"/>
      <c r="CP289" s="47"/>
      <c r="CQ289" s="47"/>
      <c r="CR289" s="47"/>
      <c r="CS289" s="47"/>
      <c r="CT289" s="47"/>
      <c r="CU289" s="47"/>
    </row>
    <row r="290" spans="1:99" ht="15" customHeight="1">
      <c r="A290" s="5"/>
      <c r="B290" s="37" t="s">
        <v>453</v>
      </c>
      <c r="C290" s="37" t="s">
        <v>252</v>
      </c>
      <c r="D290" s="37" t="s">
        <v>253</v>
      </c>
      <c r="E290" s="26">
        <v>42551</v>
      </c>
      <c r="F290" s="26"/>
      <c r="G290" s="4">
        <v>1678845</v>
      </c>
      <c r="H290" s="4">
        <v>650605</v>
      </c>
      <c r="I290" s="4">
        <v>6639909</v>
      </c>
      <c r="J290" s="4">
        <v>5989304</v>
      </c>
      <c r="K290" s="4">
        <v>1028240</v>
      </c>
      <c r="L290" s="4"/>
      <c r="M290" s="4"/>
      <c r="N290" s="4"/>
      <c r="O290" s="4"/>
      <c r="P290" s="4">
        <f>828534+9970054</f>
        <v>10798588</v>
      </c>
      <c r="Q290" s="4">
        <v>12024871</v>
      </c>
      <c r="R290" s="4">
        <f t="shared" si="242"/>
        <v>-1226283</v>
      </c>
      <c r="S290" s="27"/>
      <c r="T290" s="27"/>
      <c r="U290" s="27"/>
      <c r="V290" s="27"/>
      <c r="W290" s="27"/>
      <c r="X290" s="27"/>
      <c r="Y290" s="27"/>
      <c r="Z290" s="27"/>
      <c r="AA290" s="27"/>
      <c r="AB290" s="27"/>
      <c r="AC290" s="27"/>
      <c r="AD290" s="27"/>
      <c r="AE290" s="27"/>
      <c r="AF290" s="27"/>
      <c r="AG290" s="27"/>
      <c r="AH290" s="27"/>
      <c r="AI290" s="27"/>
      <c r="AJ290" s="28"/>
      <c r="AK290" s="20"/>
      <c r="AL290" s="20"/>
      <c r="AM290" s="20"/>
      <c r="AN290" s="20"/>
      <c r="AO290" s="20"/>
      <c r="AP290" s="20"/>
      <c r="AQ290" s="27"/>
      <c r="AR290" s="27"/>
      <c r="AS290" s="27"/>
      <c r="AT290" s="27"/>
      <c r="AU290" s="27"/>
      <c r="AV290" s="27"/>
      <c r="AW290" s="27"/>
      <c r="AX290" s="27"/>
      <c r="AY290" s="27"/>
      <c r="AZ290" s="27"/>
      <c r="BA290" s="27"/>
      <c r="BB290" s="27"/>
      <c r="BC290" s="27"/>
      <c r="BD290" s="27"/>
      <c r="BE290" s="29">
        <f t="shared" si="238"/>
        <v>0</v>
      </c>
      <c r="BF290" s="20" t="e">
        <f t="shared" si="239"/>
        <v>#DIV/0!</v>
      </c>
      <c r="BG290" s="29">
        <f t="shared" si="240"/>
        <v>0</v>
      </c>
      <c r="BH290" s="20"/>
      <c r="BI290" s="20"/>
      <c r="BJ290" s="5"/>
      <c r="BK290" s="5"/>
      <c r="BL290" s="5"/>
      <c r="BM290" s="5"/>
      <c r="BN290" s="5"/>
      <c r="BO290" s="5"/>
      <c r="BP290" s="5"/>
      <c r="BQ290" s="43"/>
      <c r="BR290" s="43"/>
      <c r="BS290" s="43"/>
      <c r="BT290" s="44"/>
      <c r="BU290" s="43"/>
      <c r="BV290" s="5"/>
      <c r="BW290" s="43"/>
      <c r="BX290" s="43"/>
      <c r="BY290" s="43"/>
      <c r="BZ290" s="44"/>
      <c r="CA290" s="43"/>
      <c r="CB290" s="5"/>
      <c r="CC290" s="45"/>
      <c r="CD290" s="45"/>
      <c r="CE290" s="45"/>
      <c r="CF290" s="46"/>
      <c r="CG290" s="45"/>
      <c r="CH290" s="5"/>
      <c r="CI290" s="44"/>
      <c r="CJ290" s="44"/>
      <c r="CK290" s="44"/>
      <c r="CL290" s="44"/>
      <c r="CM290" s="44"/>
      <c r="CN290" s="47"/>
      <c r="CO290" s="5"/>
      <c r="CP290" s="47"/>
      <c r="CQ290" s="47"/>
      <c r="CR290" s="47"/>
      <c r="CS290" s="47"/>
      <c r="CT290" s="47"/>
      <c r="CU290" s="47"/>
    </row>
    <row r="291" spans="1:99" ht="15" customHeight="1">
      <c r="A291" s="5"/>
      <c r="B291" s="37" t="s">
        <v>454</v>
      </c>
      <c r="C291" s="37" t="s">
        <v>252</v>
      </c>
      <c r="D291" s="37" t="s">
        <v>253</v>
      </c>
      <c r="E291" s="26">
        <v>42551</v>
      </c>
      <c r="F291" s="26"/>
      <c r="G291" s="4">
        <f>34014962-12901109-10255921</f>
        <v>10857932</v>
      </c>
      <c r="H291" s="4">
        <f>10779618-1199795</f>
        <v>9579823</v>
      </c>
      <c r="I291" s="4">
        <v>34014962</v>
      </c>
      <c r="J291" s="4">
        <v>23235344</v>
      </c>
      <c r="K291" s="4">
        <v>78314</v>
      </c>
      <c r="L291" s="4">
        <v>85890</v>
      </c>
      <c r="M291" s="4">
        <v>18136680</v>
      </c>
      <c r="N291" s="4">
        <v>2011417</v>
      </c>
      <c r="O291" s="4">
        <v>19638316</v>
      </c>
      <c r="P291" s="4">
        <f>L291+M291+N291+O291</f>
        <v>39872303</v>
      </c>
      <c r="Q291" s="4">
        <v>33862378</v>
      </c>
      <c r="R291" s="4">
        <f t="shared" si="242"/>
        <v>6009925</v>
      </c>
      <c r="S291" s="27">
        <v>85890</v>
      </c>
      <c r="T291" s="27">
        <v>41911</v>
      </c>
      <c r="U291" s="27">
        <v>37972072</v>
      </c>
      <c r="V291" s="27">
        <v>37927395</v>
      </c>
      <c r="W291" s="27">
        <v>44677</v>
      </c>
      <c r="X291" s="27">
        <v>0</v>
      </c>
      <c r="Y291" s="27">
        <v>0</v>
      </c>
      <c r="Z291" s="27">
        <v>0</v>
      </c>
      <c r="AA291" s="27">
        <f>1046083+153712</f>
        <v>1199795</v>
      </c>
      <c r="AB291" s="27">
        <f>X291+Y291+Z291+AA291</f>
        <v>1199795</v>
      </c>
      <c r="AC291" s="27">
        <v>1199795</v>
      </c>
      <c r="AD291" s="27">
        <v>0</v>
      </c>
      <c r="AE291" s="27">
        <f>AC291+AD291</f>
        <v>1199795</v>
      </c>
      <c r="AF291" s="27">
        <v>0</v>
      </c>
      <c r="AG291" s="27">
        <v>23442</v>
      </c>
      <c r="AH291" s="27">
        <v>25437</v>
      </c>
      <c r="AI291" s="27">
        <v>22388</v>
      </c>
      <c r="AJ291" s="28">
        <v>42551</v>
      </c>
      <c r="AK291" s="27">
        <v>0</v>
      </c>
      <c r="AL291" s="27">
        <v>475036</v>
      </c>
      <c r="AM291" s="27">
        <f>AL291-AK291</f>
        <v>475036</v>
      </c>
      <c r="AN291" s="29">
        <f>AK291/AL291</f>
        <v>0</v>
      </c>
      <c r="AO291" s="29">
        <v>3.5000000000000003E-2</v>
      </c>
      <c r="AP291" s="29">
        <v>3.5000000000000003E-2</v>
      </c>
      <c r="AQ291" s="27"/>
      <c r="AR291" s="27"/>
      <c r="AS291" s="27">
        <v>0</v>
      </c>
      <c r="AT291" s="27">
        <v>0</v>
      </c>
      <c r="AU291" s="27">
        <v>0</v>
      </c>
      <c r="AV291" s="27">
        <v>0</v>
      </c>
      <c r="AW291" s="27">
        <v>829148</v>
      </c>
      <c r="AX291" s="27">
        <f>AS291+AT291+AU291+AV291+AW291</f>
        <v>829148</v>
      </c>
      <c r="AY291" s="27">
        <v>0</v>
      </c>
      <c r="AZ291" s="27">
        <v>0</v>
      </c>
      <c r="BA291" s="27">
        <v>0</v>
      </c>
      <c r="BB291" s="27">
        <v>0</v>
      </c>
      <c r="BC291" s="27">
        <v>829148</v>
      </c>
      <c r="BD291" s="27">
        <f>SUM(AY291:BC291)</f>
        <v>829148</v>
      </c>
      <c r="BE291" s="29">
        <f t="shared" si="238"/>
        <v>0</v>
      </c>
      <c r="BF291" s="29">
        <f t="shared" si="239"/>
        <v>19.783541313736251</v>
      </c>
      <c r="BG291" s="29">
        <f t="shared" si="240"/>
        <v>3.0090938062945598E-2</v>
      </c>
      <c r="BH291" s="20"/>
      <c r="BI291" s="20"/>
      <c r="BJ291" s="5"/>
      <c r="BK291" s="5"/>
      <c r="BL291" s="5"/>
      <c r="BM291" s="5"/>
      <c r="BN291" s="5"/>
      <c r="BO291" s="5"/>
      <c r="BP291" s="5"/>
      <c r="BQ291" s="43"/>
      <c r="BR291" s="43"/>
      <c r="BS291" s="43"/>
      <c r="BT291" s="44"/>
      <c r="BU291" s="43"/>
      <c r="BV291" s="5"/>
      <c r="BW291" s="43"/>
      <c r="BX291" s="43"/>
      <c r="BY291" s="43"/>
      <c r="BZ291" s="44"/>
      <c r="CA291" s="43"/>
      <c r="CB291" s="5"/>
      <c r="CC291" s="45"/>
      <c r="CD291" s="45"/>
      <c r="CE291" s="45"/>
      <c r="CF291" s="46"/>
      <c r="CG291" s="45"/>
      <c r="CH291" s="5"/>
      <c r="CI291" s="44"/>
      <c r="CJ291" s="44"/>
      <c r="CK291" s="44"/>
      <c r="CL291" s="44"/>
      <c r="CM291" s="44"/>
      <c r="CN291" s="47"/>
      <c r="CO291" s="5"/>
      <c r="CP291" s="47"/>
      <c r="CQ291" s="47"/>
      <c r="CR291" s="47"/>
      <c r="CS291" s="47"/>
      <c r="CT291" s="47"/>
      <c r="CU291" s="47"/>
    </row>
    <row r="292" spans="1:99" ht="15" customHeight="1">
      <c r="A292" s="5"/>
      <c r="B292" s="37" t="s">
        <v>455</v>
      </c>
      <c r="C292" s="37" t="s">
        <v>252</v>
      </c>
      <c r="D292" s="37" t="s">
        <v>253</v>
      </c>
      <c r="E292" s="26">
        <v>42551</v>
      </c>
      <c r="F292" s="26"/>
      <c r="G292" s="4">
        <v>4685577</v>
      </c>
      <c r="H292" s="4">
        <v>4125854</v>
      </c>
      <c r="I292" s="4">
        <v>19917321</v>
      </c>
      <c r="J292" s="4">
        <v>2866089</v>
      </c>
      <c r="K292" s="4">
        <v>-12365655</v>
      </c>
      <c r="L292" s="4"/>
      <c r="M292" s="4"/>
      <c r="N292" s="4"/>
      <c r="O292" s="4"/>
      <c r="P292" s="4">
        <f>6330085+16653667</f>
        <v>22983752</v>
      </c>
      <c r="Q292" s="4">
        <v>26008752</v>
      </c>
      <c r="R292" s="4">
        <f t="shared" si="242"/>
        <v>-3025000</v>
      </c>
      <c r="S292" s="27"/>
      <c r="T292" s="27"/>
      <c r="U292" s="27"/>
      <c r="V292" s="27"/>
      <c r="W292" s="27"/>
      <c r="X292" s="27"/>
      <c r="Y292" s="27"/>
      <c r="Z292" s="27"/>
      <c r="AA292" s="27"/>
      <c r="AB292" s="27"/>
      <c r="AC292" s="27">
        <v>1076999</v>
      </c>
      <c r="AD292" s="27">
        <v>0</v>
      </c>
      <c r="AE292" s="27">
        <f>AC292+AD292</f>
        <v>1076999</v>
      </c>
      <c r="AF292" s="27">
        <v>0</v>
      </c>
      <c r="AG292" s="27">
        <v>227249</v>
      </c>
      <c r="AH292" s="27">
        <v>211093</v>
      </c>
      <c r="AI292" s="27">
        <v>40217</v>
      </c>
      <c r="AJ292" s="28">
        <v>41821</v>
      </c>
      <c r="AK292" s="27">
        <v>0</v>
      </c>
      <c r="AL292" s="27">
        <v>1511459</v>
      </c>
      <c r="AM292" s="27">
        <f>AL292-AK292</f>
        <v>1511459</v>
      </c>
      <c r="AN292" s="29">
        <f>AK292/AL292</f>
        <v>0</v>
      </c>
      <c r="AO292" s="20"/>
      <c r="AP292" s="20"/>
      <c r="AQ292" s="27">
        <v>1231107</v>
      </c>
      <c r="AR292" s="27">
        <v>481785</v>
      </c>
      <c r="AS292" s="27"/>
      <c r="AT292" s="27"/>
      <c r="AU292" s="27"/>
      <c r="AV292" s="27"/>
      <c r="AW292" s="27"/>
      <c r="AX292" s="27"/>
      <c r="AY292" s="27"/>
      <c r="AZ292" s="27"/>
      <c r="BA292" s="27"/>
      <c r="BB292" s="27"/>
      <c r="BC292" s="27"/>
      <c r="BD292" s="27"/>
      <c r="BE292" s="29">
        <f t="shared" si="238"/>
        <v>5.3564230940187661E-2</v>
      </c>
      <c r="BF292" s="20" t="e">
        <f t="shared" si="239"/>
        <v>#DIV/0!</v>
      </c>
      <c r="BG292" s="29">
        <f t="shared" si="240"/>
        <v>0</v>
      </c>
      <c r="BH292" s="20"/>
      <c r="BI292" s="20"/>
      <c r="BJ292" s="5"/>
      <c r="BK292" s="5"/>
      <c r="BL292" s="5"/>
      <c r="BM292" s="5"/>
      <c r="BN292" s="5"/>
      <c r="BO292" s="5"/>
      <c r="BP292" s="5"/>
      <c r="BQ292" s="43"/>
      <c r="BR292" s="43"/>
      <c r="BS292" s="43"/>
      <c r="BT292" s="44"/>
      <c r="BU292" s="43"/>
      <c r="BV292" s="5"/>
      <c r="BW292" s="43"/>
      <c r="BX292" s="43"/>
      <c r="BY292" s="43"/>
      <c r="BZ292" s="44"/>
      <c r="CA292" s="43"/>
      <c r="CB292" s="5"/>
      <c r="CC292" s="45"/>
      <c r="CD292" s="45"/>
      <c r="CE292" s="45"/>
      <c r="CF292" s="46"/>
      <c r="CG292" s="45"/>
      <c r="CH292" s="5"/>
      <c r="CI292" s="44"/>
      <c r="CJ292" s="44"/>
      <c r="CK292" s="44"/>
      <c r="CL292" s="44"/>
      <c r="CM292" s="44"/>
      <c r="CN292" s="47"/>
      <c r="CO292" s="5"/>
      <c r="CP292" s="47"/>
      <c r="CQ292" s="47"/>
      <c r="CR292" s="47"/>
      <c r="CS292" s="47"/>
      <c r="CT292" s="47"/>
      <c r="CU292" s="47"/>
    </row>
    <row r="293" spans="1:99" ht="15" customHeight="1">
      <c r="A293" s="5"/>
      <c r="B293" s="37" t="s">
        <v>456</v>
      </c>
      <c r="C293" s="37" t="s">
        <v>252</v>
      </c>
      <c r="D293" s="37" t="s">
        <v>253</v>
      </c>
      <c r="E293" s="26">
        <v>42551</v>
      </c>
      <c r="F293" s="26"/>
      <c r="G293" s="4">
        <v>700541</v>
      </c>
      <c r="H293" s="4">
        <v>197424</v>
      </c>
      <c r="I293" s="4">
        <v>955854</v>
      </c>
      <c r="J293" s="4">
        <v>758430</v>
      </c>
      <c r="K293" s="4">
        <v>488430</v>
      </c>
      <c r="L293" s="4">
        <v>0</v>
      </c>
      <c r="M293" s="4">
        <v>0</v>
      </c>
      <c r="N293" s="4">
        <v>2622804</v>
      </c>
      <c r="O293" s="4">
        <f>1176017+470000</f>
        <v>1646017</v>
      </c>
      <c r="P293" s="4">
        <f>L293+M293+N293+O293</f>
        <v>4268821</v>
      </c>
      <c r="Q293" s="4">
        <v>3669570</v>
      </c>
      <c r="R293" s="4">
        <f t="shared" si="242"/>
        <v>599251</v>
      </c>
      <c r="S293" s="27"/>
      <c r="T293" s="27"/>
      <c r="U293" s="27"/>
      <c r="V293" s="27"/>
      <c r="W293" s="27"/>
      <c r="X293" s="27"/>
      <c r="Y293" s="27"/>
      <c r="Z293" s="27"/>
      <c r="AA293" s="27"/>
      <c r="AB293" s="27"/>
      <c r="AC293" s="27"/>
      <c r="AD293" s="27"/>
      <c r="AE293" s="27"/>
      <c r="AF293" s="27"/>
      <c r="AG293" s="27"/>
      <c r="AH293" s="27"/>
      <c r="AI293" s="27"/>
      <c r="AJ293" s="28"/>
      <c r="AK293" s="20"/>
      <c r="AL293" s="20"/>
      <c r="AM293" s="20"/>
      <c r="AN293" s="20"/>
      <c r="AO293" s="20"/>
      <c r="AP293" s="20"/>
      <c r="AQ293" s="27"/>
      <c r="AR293" s="27"/>
      <c r="AS293" s="27"/>
      <c r="AT293" s="27"/>
      <c r="AU293" s="27"/>
      <c r="AV293" s="27"/>
      <c r="AW293" s="27"/>
      <c r="AX293" s="27"/>
      <c r="AY293" s="27"/>
      <c r="AZ293" s="27"/>
      <c r="BA293" s="27"/>
      <c r="BB293" s="27"/>
      <c r="BC293" s="27"/>
      <c r="BD293" s="27"/>
      <c r="BE293" s="29">
        <f t="shared" si="238"/>
        <v>0</v>
      </c>
      <c r="BF293" s="20" t="e">
        <f t="shared" si="239"/>
        <v>#DIV/0!</v>
      </c>
      <c r="BG293" s="29">
        <f t="shared" si="240"/>
        <v>0</v>
      </c>
      <c r="BH293" s="20"/>
      <c r="BI293" s="20"/>
      <c r="BJ293" s="5"/>
      <c r="BK293" s="5"/>
      <c r="BL293" s="5"/>
      <c r="BM293" s="5"/>
      <c r="BN293" s="5"/>
      <c r="BO293" s="5"/>
      <c r="BP293" s="5"/>
      <c r="BQ293" s="43"/>
      <c r="BR293" s="43"/>
      <c r="BS293" s="43"/>
      <c r="BT293" s="44"/>
      <c r="BU293" s="43"/>
      <c r="BV293" s="5"/>
      <c r="BW293" s="43"/>
      <c r="BX293" s="43"/>
      <c r="BY293" s="43"/>
      <c r="BZ293" s="44"/>
      <c r="CA293" s="43"/>
      <c r="CB293" s="5"/>
      <c r="CC293" s="45"/>
      <c r="CD293" s="45"/>
      <c r="CE293" s="45"/>
      <c r="CF293" s="46"/>
      <c r="CG293" s="45"/>
      <c r="CH293" s="5"/>
      <c r="CI293" s="44"/>
      <c r="CJ293" s="44"/>
      <c r="CK293" s="44"/>
      <c r="CL293" s="44"/>
      <c r="CM293" s="44"/>
      <c r="CN293" s="47"/>
      <c r="CO293" s="5"/>
      <c r="CP293" s="47"/>
      <c r="CQ293" s="47"/>
      <c r="CR293" s="47"/>
      <c r="CS293" s="47"/>
      <c r="CT293" s="47"/>
      <c r="CU293" s="47"/>
    </row>
    <row r="294" spans="1:99" ht="15" customHeight="1">
      <c r="A294" s="5"/>
      <c r="B294" s="37" t="s">
        <v>457</v>
      </c>
      <c r="C294" s="37" t="s">
        <v>252</v>
      </c>
      <c r="D294" s="37" t="s">
        <v>253</v>
      </c>
      <c r="E294" s="26">
        <v>42551</v>
      </c>
      <c r="F294" s="26"/>
      <c r="G294" s="4">
        <f>4560661-1252301-45000</f>
        <v>3263360</v>
      </c>
      <c r="H294" s="4">
        <v>262189</v>
      </c>
      <c r="I294" s="4">
        <v>4560661</v>
      </c>
      <c r="J294" s="4">
        <v>-58469630</v>
      </c>
      <c r="K294" s="4">
        <v>-59671731</v>
      </c>
      <c r="L294" s="4">
        <v>12880758</v>
      </c>
      <c r="M294" s="4">
        <v>0</v>
      </c>
      <c r="N294" s="4">
        <v>158197</v>
      </c>
      <c r="O294" s="4">
        <v>83426</v>
      </c>
      <c r="P294" s="4">
        <f>L294+M294+N294+O294</f>
        <v>13122381</v>
      </c>
      <c r="Q294" s="4">
        <v>13017989</v>
      </c>
      <c r="R294" s="4">
        <f t="shared" si="242"/>
        <v>104392</v>
      </c>
      <c r="S294" s="27">
        <v>13222140</v>
      </c>
      <c r="T294" s="27">
        <v>13637283</v>
      </c>
      <c r="U294" s="27">
        <v>13222140</v>
      </c>
      <c r="V294" s="27">
        <v>13637283</v>
      </c>
      <c r="W294" s="27">
        <v>-415143</v>
      </c>
      <c r="X294" s="27">
        <v>147152</v>
      </c>
      <c r="Y294" s="27">
        <v>49216997</v>
      </c>
      <c r="Z294" s="27">
        <v>11747649</v>
      </c>
      <c r="AA294" s="27">
        <f>62584638-X294-Y294-Z294</f>
        <v>1472840</v>
      </c>
      <c r="AB294" s="27">
        <f>X294+Y294+Z294+AA294</f>
        <v>62584638</v>
      </c>
      <c r="AC294" s="27">
        <v>11747649</v>
      </c>
      <c r="AD294" s="27">
        <v>0</v>
      </c>
      <c r="AE294" s="27">
        <f>AC294+AD294</f>
        <v>11747649</v>
      </c>
      <c r="AF294" s="27">
        <v>0</v>
      </c>
      <c r="AG294" s="27">
        <v>2819115</v>
      </c>
      <c r="AH294" s="27">
        <v>2819115</v>
      </c>
      <c r="AI294" s="27">
        <v>903800</v>
      </c>
      <c r="AJ294" s="28">
        <v>41820</v>
      </c>
      <c r="AK294" s="27">
        <v>0</v>
      </c>
      <c r="AL294" s="27">
        <v>30554300</v>
      </c>
      <c r="AM294" s="27">
        <f>AL294-AK294</f>
        <v>30554300</v>
      </c>
      <c r="AN294" s="29">
        <f>AK294/AL294</f>
        <v>0</v>
      </c>
      <c r="AO294" s="29">
        <v>0.04</v>
      </c>
      <c r="AP294" s="2" t="s">
        <v>458</v>
      </c>
      <c r="AQ294" s="27">
        <f>4336933+167207</f>
        <v>4504140</v>
      </c>
      <c r="AR294" s="27">
        <f>3215098+167207</f>
        <v>3382305</v>
      </c>
      <c r="AS294" s="27">
        <v>10020</v>
      </c>
      <c r="AT294" s="27">
        <v>0</v>
      </c>
      <c r="AU294" s="27">
        <v>0</v>
      </c>
      <c r="AV294" s="27">
        <v>909480</v>
      </c>
      <c r="AW294" s="27">
        <v>509656</v>
      </c>
      <c r="AX294" s="27">
        <f>AS294+AT294+AU294+AV294+AW294</f>
        <v>1429156</v>
      </c>
      <c r="AY294" s="27">
        <v>10020</v>
      </c>
      <c r="AZ294" s="27">
        <v>0</v>
      </c>
      <c r="BA294" s="27">
        <v>0</v>
      </c>
      <c r="BB294" s="27">
        <v>909480</v>
      </c>
      <c r="BC294" s="27">
        <v>509656</v>
      </c>
      <c r="BD294" s="27">
        <f>SUM(AY294:BC294)</f>
        <v>1429156</v>
      </c>
      <c r="BE294" s="29">
        <f t="shared" si="238"/>
        <v>0.34324106273091748</v>
      </c>
      <c r="BF294" s="29">
        <f t="shared" si="239"/>
        <v>0.10479770787186861</v>
      </c>
      <c r="BG294" s="29">
        <f t="shared" si="240"/>
        <v>1.0186902056875196</v>
      </c>
      <c r="BH294" s="20"/>
      <c r="BI294" s="20"/>
      <c r="BJ294" s="5"/>
      <c r="BK294" s="5"/>
      <c r="BL294" s="5"/>
      <c r="BM294" s="5"/>
      <c r="BN294" s="5"/>
      <c r="BO294" s="5"/>
      <c r="BP294" s="5"/>
      <c r="BQ294" s="43"/>
      <c r="BR294" s="43"/>
      <c r="BS294" s="43"/>
      <c r="BT294" s="44"/>
      <c r="BU294" s="43"/>
      <c r="BV294" s="5"/>
      <c r="BW294" s="43"/>
      <c r="BX294" s="43"/>
      <c r="BY294" s="43"/>
      <c r="BZ294" s="44"/>
      <c r="CA294" s="43"/>
      <c r="CB294" s="5"/>
      <c r="CC294" s="45"/>
      <c r="CD294" s="45"/>
      <c r="CE294" s="45"/>
      <c r="CF294" s="46"/>
      <c r="CG294" s="45"/>
      <c r="CH294" s="5"/>
      <c r="CI294" s="44"/>
      <c r="CJ294" s="44"/>
      <c r="CK294" s="44"/>
      <c r="CL294" s="44"/>
      <c r="CM294" s="44"/>
      <c r="CN294" s="47"/>
      <c r="CO294" s="5"/>
      <c r="CP294" s="47"/>
      <c r="CQ294" s="47"/>
      <c r="CR294" s="47"/>
      <c r="CS294" s="47"/>
      <c r="CT294" s="47"/>
      <c r="CU294" s="47"/>
    </row>
    <row r="295" spans="1:99" ht="15" customHeight="1">
      <c r="A295" s="5"/>
      <c r="B295" s="37" t="s">
        <v>459</v>
      </c>
      <c r="C295" s="37" t="s">
        <v>252</v>
      </c>
      <c r="D295" s="37" t="s">
        <v>253</v>
      </c>
      <c r="E295" s="26">
        <v>42551</v>
      </c>
      <c r="F295" s="26"/>
      <c r="G295" s="4">
        <f>690633-409593</f>
        <v>281040</v>
      </c>
      <c r="H295" s="4">
        <v>51452</v>
      </c>
      <c r="I295" s="4">
        <v>690633</v>
      </c>
      <c r="J295" s="4">
        <v>639181</v>
      </c>
      <c r="K295" s="4">
        <v>-16361</v>
      </c>
      <c r="L295" s="4">
        <v>593955</v>
      </c>
      <c r="M295" s="4">
        <v>0</v>
      </c>
      <c r="N295" s="4">
        <f>755+27400</f>
        <v>28155</v>
      </c>
      <c r="O295" s="4">
        <v>0</v>
      </c>
      <c r="P295" s="4">
        <f>L295+M295+N295+O295</f>
        <v>622110</v>
      </c>
      <c r="Q295" s="4">
        <v>504902</v>
      </c>
      <c r="R295" s="4">
        <f t="shared" si="242"/>
        <v>117208</v>
      </c>
      <c r="S295" s="27">
        <v>593955</v>
      </c>
      <c r="T295" s="27">
        <v>581432</v>
      </c>
      <c r="U295" s="27">
        <v>622110</v>
      </c>
      <c r="V295" s="27">
        <v>636382</v>
      </c>
      <c r="W295" s="27">
        <v>12523</v>
      </c>
      <c r="X295" s="27"/>
      <c r="Y295" s="27"/>
      <c r="Z295" s="27"/>
      <c r="AA295" s="27"/>
      <c r="AB295" s="27"/>
      <c r="AC295" s="27"/>
      <c r="AD295" s="27"/>
      <c r="AE295" s="27"/>
      <c r="AF295" s="27"/>
      <c r="AG295" s="27"/>
      <c r="AH295" s="27"/>
      <c r="AI295" s="27"/>
      <c r="AJ295" s="28"/>
      <c r="AK295" s="20"/>
      <c r="AL295" s="20"/>
      <c r="AM295" s="20"/>
      <c r="AN295" s="20"/>
      <c r="AO295" s="20"/>
      <c r="AP295" s="20"/>
      <c r="AQ295" s="27"/>
      <c r="AR295" s="27"/>
      <c r="AS295" s="27">
        <v>25313</v>
      </c>
      <c r="AT295" s="27">
        <v>0</v>
      </c>
      <c r="AU295" s="27">
        <v>0</v>
      </c>
      <c r="AV295" s="27">
        <v>0</v>
      </c>
      <c r="AW295" s="27">
        <v>-16361</v>
      </c>
      <c r="AX295" s="27">
        <f>AS295+AT295+AU295+AV295+AW295</f>
        <v>8952</v>
      </c>
      <c r="AY295" s="27">
        <v>25313</v>
      </c>
      <c r="AZ295" s="27">
        <v>0</v>
      </c>
      <c r="BA295" s="27">
        <v>220636</v>
      </c>
      <c r="BB295" s="27">
        <v>0</v>
      </c>
      <c r="BC295" s="27">
        <v>-16361</v>
      </c>
      <c r="BD295" s="27">
        <f>SUM(AY295:BC295)</f>
        <v>229588</v>
      </c>
      <c r="BE295" s="29">
        <f t="shared" si="238"/>
        <v>0</v>
      </c>
      <c r="BF295" s="29">
        <f t="shared" si="239"/>
        <v>1.539646940656861E-2</v>
      </c>
      <c r="BG295" s="29">
        <f t="shared" si="240"/>
        <v>0</v>
      </c>
      <c r="BH295" s="20"/>
      <c r="BI295" s="20"/>
      <c r="BJ295" s="5"/>
      <c r="BK295" s="5"/>
      <c r="BL295" s="5"/>
      <c r="BM295" s="5"/>
      <c r="BN295" s="5"/>
      <c r="BO295" s="5"/>
      <c r="BP295" s="5"/>
      <c r="BQ295" s="43"/>
      <c r="BR295" s="43"/>
      <c r="BS295" s="43"/>
      <c r="BT295" s="44"/>
      <c r="BU295" s="43"/>
      <c r="BV295" s="5"/>
      <c r="BW295" s="43"/>
      <c r="BX295" s="43"/>
      <c r="BY295" s="43"/>
      <c r="BZ295" s="44"/>
      <c r="CA295" s="43"/>
      <c r="CB295" s="5"/>
      <c r="CC295" s="45"/>
      <c r="CD295" s="45"/>
      <c r="CE295" s="45"/>
      <c r="CF295" s="46"/>
      <c r="CG295" s="45"/>
      <c r="CH295" s="5"/>
      <c r="CI295" s="44"/>
      <c r="CJ295" s="44"/>
      <c r="CK295" s="44"/>
      <c r="CL295" s="44"/>
      <c r="CM295" s="44"/>
      <c r="CN295" s="47"/>
      <c r="CO295" s="5"/>
      <c r="CP295" s="47"/>
      <c r="CQ295" s="47"/>
      <c r="CR295" s="47"/>
      <c r="CS295" s="47"/>
      <c r="CT295" s="47"/>
      <c r="CU295" s="47"/>
    </row>
    <row r="296" spans="1:99" ht="15" customHeight="1">
      <c r="A296" s="5"/>
      <c r="B296" s="37" t="s">
        <v>460</v>
      </c>
      <c r="C296" s="37" t="s">
        <v>252</v>
      </c>
      <c r="D296" s="37" t="s">
        <v>253</v>
      </c>
      <c r="E296" s="26">
        <v>42551</v>
      </c>
      <c r="F296" s="26"/>
      <c r="G296" s="4">
        <v>491771</v>
      </c>
      <c r="H296" s="4">
        <v>159188</v>
      </c>
      <c r="I296" s="4">
        <v>1201911</v>
      </c>
      <c r="J296" s="4">
        <v>1042723</v>
      </c>
      <c r="K296" s="4">
        <v>335653</v>
      </c>
      <c r="L296" s="4">
        <f>185980+1462934</f>
        <v>1648914</v>
      </c>
      <c r="M296" s="4">
        <v>0</v>
      </c>
      <c r="N296" s="4">
        <v>0</v>
      </c>
      <c r="O296" s="4">
        <v>0</v>
      </c>
      <c r="P296" s="4">
        <f>L296+M296+N296+O296</f>
        <v>1648914</v>
      </c>
      <c r="Q296" s="4">
        <v>1885239</v>
      </c>
      <c r="R296" s="4">
        <f t="shared" si="242"/>
        <v>-236325</v>
      </c>
      <c r="S296" s="27"/>
      <c r="T296" s="27"/>
      <c r="U296" s="27"/>
      <c r="V296" s="27"/>
      <c r="W296" s="27"/>
      <c r="X296" s="27"/>
      <c r="Y296" s="27"/>
      <c r="Z296" s="27"/>
      <c r="AA296" s="27"/>
      <c r="AB296" s="27"/>
      <c r="AC296" s="27"/>
      <c r="AD296" s="27"/>
      <c r="AE296" s="27"/>
      <c r="AF296" s="27"/>
      <c r="AG296" s="27"/>
      <c r="AH296" s="27"/>
      <c r="AI296" s="27"/>
      <c r="AJ296" s="28"/>
      <c r="AK296" s="20"/>
      <c r="AL296" s="20"/>
      <c r="AM296" s="20"/>
      <c r="AN296" s="20"/>
      <c r="AO296" s="20"/>
      <c r="AP296" s="20"/>
      <c r="AQ296" s="27"/>
      <c r="AR296" s="27"/>
      <c r="AS296" s="27"/>
      <c r="AT296" s="27"/>
      <c r="AU296" s="27"/>
      <c r="AV296" s="27"/>
      <c r="AW296" s="27"/>
      <c r="AX296" s="27"/>
      <c r="AY296" s="27"/>
      <c r="AZ296" s="27"/>
      <c r="BA296" s="27"/>
      <c r="BB296" s="27"/>
      <c r="BC296" s="27"/>
      <c r="BD296" s="27"/>
      <c r="BE296" s="29">
        <f t="shared" si="238"/>
        <v>0</v>
      </c>
      <c r="BF296" s="20" t="e">
        <f t="shared" si="239"/>
        <v>#DIV/0!</v>
      </c>
      <c r="BG296" s="29">
        <f t="shared" si="240"/>
        <v>0</v>
      </c>
      <c r="BH296" s="20"/>
      <c r="BI296" s="20"/>
      <c r="BJ296" s="5"/>
      <c r="BK296" s="5"/>
      <c r="BL296" s="5"/>
      <c r="BM296" s="5"/>
      <c r="BN296" s="5"/>
      <c r="BO296" s="5"/>
      <c r="BP296" s="5"/>
      <c r="BQ296" s="43"/>
      <c r="BR296" s="43"/>
      <c r="BS296" s="43"/>
      <c r="BT296" s="44"/>
      <c r="BU296" s="43"/>
      <c r="BV296" s="5"/>
      <c r="BW296" s="43"/>
      <c r="BX296" s="43"/>
      <c r="BY296" s="43"/>
      <c r="BZ296" s="44"/>
      <c r="CA296" s="43"/>
      <c r="CB296" s="5"/>
      <c r="CC296" s="45"/>
      <c r="CD296" s="45"/>
      <c r="CE296" s="45"/>
      <c r="CF296" s="46"/>
      <c r="CG296" s="45"/>
      <c r="CH296" s="5"/>
      <c r="CI296" s="44"/>
      <c r="CJ296" s="44"/>
      <c r="CK296" s="44"/>
      <c r="CL296" s="44"/>
      <c r="CM296" s="44"/>
      <c r="CN296" s="47"/>
      <c r="CO296" s="5"/>
      <c r="CP296" s="47"/>
      <c r="CQ296" s="47"/>
      <c r="CR296" s="47"/>
      <c r="CS296" s="47"/>
      <c r="CT296" s="47"/>
      <c r="CU296" s="47"/>
    </row>
    <row r="297" spans="1:99" ht="15" customHeight="1">
      <c r="A297" s="5"/>
      <c r="B297" s="37" t="s">
        <v>251</v>
      </c>
      <c r="C297" s="37" t="s">
        <v>252</v>
      </c>
      <c r="D297" s="37" t="s">
        <v>253</v>
      </c>
      <c r="E297" s="26">
        <v>42551</v>
      </c>
      <c r="F297" s="26"/>
      <c r="G297" s="4">
        <v>808155</v>
      </c>
      <c r="H297" s="4">
        <f t="shared" ref="H3:H297" si="243">763287-271186-351430</f>
        <v>140671</v>
      </c>
      <c r="I297" s="4">
        <v>4249794</v>
      </c>
      <c r="J297" s="4">
        <v>3486507</v>
      </c>
      <c r="K297" s="4">
        <v>480018</v>
      </c>
      <c r="L297" s="4">
        <v>3159403</v>
      </c>
      <c r="M297" s="4">
        <v>0</v>
      </c>
      <c r="N297" s="4">
        <v>0</v>
      </c>
      <c r="O297" s="4">
        <v>0</v>
      </c>
      <c r="P297" s="4">
        <f>L297+M297+N297+O297+460</f>
        <v>3159863</v>
      </c>
      <c r="Q297" s="4">
        <v>2931859</v>
      </c>
      <c r="R297" s="4">
        <f t="shared" si="242"/>
        <v>228004</v>
      </c>
      <c r="S297" s="27"/>
      <c r="T297" s="27"/>
      <c r="U297" s="27"/>
      <c r="V297" s="27"/>
      <c r="W297" s="27"/>
      <c r="X297" s="27">
        <v>351430</v>
      </c>
      <c r="Y297" s="27">
        <v>0</v>
      </c>
      <c r="Z297" s="27">
        <v>0</v>
      </c>
      <c r="AA297" s="27">
        <f>622616-X297-Y297-Z297</f>
        <v>271186</v>
      </c>
      <c r="AB297" s="27">
        <f>X297+Y297+Z297+AA297</f>
        <v>622616</v>
      </c>
      <c r="AC297" s="27"/>
      <c r="AD297" s="27"/>
      <c r="AE297" s="27"/>
      <c r="AF297" s="27"/>
      <c r="AG297" s="27"/>
      <c r="AH297" s="27"/>
      <c r="AI297" s="27"/>
      <c r="AJ297" s="28"/>
      <c r="AK297" s="20"/>
      <c r="AL297" s="20"/>
      <c r="AM297" s="20"/>
      <c r="AN297" s="20"/>
      <c r="AO297" s="20"/>
      <c r="AP297" s="20"/>
      <c r="AQ297" s="27"/>
      <c r="AR297" s="27"/>
      <c r="AS297" s="27">
        <v>0</v>
      </c>
      <c r="AT297" s="27">
        <v>0</v>
      </c>
      <c r="AU297" s="27">
        <v>0</v>
      </c>
      <c r="AV297" s="27">
        <v>0</v>
      </c>
      <c r="AW297" s="27">
        <v>627589</v>
      </c>
      <c r="AX297" s="27">
        <v>627589</v>
      </c>
      <c r="AY297" s="27">
        <v>0</v>
      </c>
      <c r="AZ297" s="27">
        <v>0</v>
      </c>
      <c r="BA297" s="27">
        <v>0</v>
      </c>
      <c r="BB297" s="27">
        <v>0</v>
      </c>
      <c r="BC297" s="27">
        <v>627589</v>
      </c>
      <c r="BD297" s="27">
        <v>627589</v>
      </c>
      <c r="BE297" s="29">
        <f t="shared" si="238"/>
        <v>0</v>
      </c>
      <c r="BF297" s="20" t="e">
        <f t="shared" si="239"/>
        <v>#DIV/0!</v>
      </c>
      <c r="BG297" s="29">
        <f t="shared" si="240"/>
        <v>0.19703892225707254</v>
      </c>
      <c r="BH297" s="20"/>
      <c r="BI297" s="20"/>
      <c r="BJ297" s="5"/>
      <c r="BK297" s="5"/>
      <c r="BL297" s="5"/>
      <c r="BM297" s="5"/>
      <c r="BN297" s="5"/>
      <c r="BO297" s="5"/>
      <c r="BP297" s="5"/>
      <c r="BQ297" s="43"/>
      <c r="BR297" s="43"/>
      <c r="BS297" s="43"/>
      <c r="BT297" s="44"/>
      <c r="BU297" s="43"/>
      <c r="BV297" s="5"/>
      <c r="BW297" s="43"/>
      <c r="BX297" s="43"/>
      <c r="BY297" s="43"/>
      <c r="BZ297" s="44"/>
      <c r="CA297" s="43"/>
      <c r="CB297" s="5"/>
      <c r="CC297" s="45"/>
      <c r="CD297" s="45"/>
      <c r="CE297" s="45"/>
      <c r="CF297" s="46"/>
      <c r="CG297" s="45"/>
      <c r="CH297" s="5"/>
      <c r="CI297" s="44"/>
      <c r="CJ297" s="44"/>
      <c r="CK297" s="44"/>
      <c r="CL297" s="44"/>
      <c r="CM297" s="44"/>
      <c r="CN297" s="47"/>
      <c r="CO297" s="5"/>
      <c r="CP297" s="47"/>
      <c r="CQ297" s="47"/>
      <c r="CR297" s="47"/>
      <c r="CS297" s="47"/>
      <c r="CT297" s="47"/>
      <c r="CU297" s="47"/>
    </row>
    <row r="298" spans="1:99" ht="15" customHeight="1">
      <c r="A298" s="5"/>
      <c r="B298" s="37" t="s">
        <v>461</v>
      </c>
      <c r="C298" s="37" t="s">
        <v>252</v>
      </c>
      <c r="D298" s="37" t="s">
        <v>253</v>
      </c>
      <c r="E298" s="26">
        <v>42551</v>
      </c>
      <c r="F298" s="26"/>
      <c r="G298" s="4">
        <f>5922706+15571+115450+10014+5446+13495+59718</f>
        <v>6142400</v>
      </c>
      <c r="H298" s="4">
        <f>1026184-157143</f>
        <v>869041</v>
      </c>
      <c r="I298" s="4">
        <v>12050385</v>
      </c>
      <c r="J298" s="4">
        <v>11024201</v>
      </c>
      <c r="K298" s="4">
        <v>1339061</v>
      </c>
      <c r="L298" s="4">
        <v>4405838</v>
      </c>
      <c r="M298" s="4">
        <v>1224</v>
      </c>
      <c r="N298" s="4">
        <v>333637</v>
      </c>
      <c r="O298" s="4">
        <v>0</v>
      </c>
      <c r="P298" s="4">
        <f t="shared" ref="P298:P313" si="244">L298+M298+N298+O298</f>
        <v>4740699</v>
      </c>
      <c r="Q298" s="4">
        <v>4853814</v>
      </c>
      <c r="R298" s="4">
        <f t="shared" si="242"/>
        <v>-113115</v>
      </c>
      <c r="S298" s="27">
        <v>4686061</v>
      </c>
      <c r="T298" s="27">
        <v>4302321</v>
      </c>
      <c r="U298" s="27">
        <v>4703403</v>
      </c>
      <c r="V298" s="27">
        <v>4948492</v>
      </c>
      <c r="W298" s="27">
        <v>-202963</v>
      </c>
      <c r="X298" s="27">
        <v>0</v>
      </c>
      <c r="Y298" s="27">
        <v>0</v>
      </c>
      <c r="Z298" s="27">
        <v>0</v>
      </c>
      <c r="AA298" s="27">
        <v>157143</v>
      </c>
      <c r="AB298" s="27">
        <v>157143</v>
      </c>
      <c r="AC298" s="27"/>
      <c r="AD298" s="27"/>
      <c r="AE298" s="27"/>
      <c r="AF298" s="27"/>
      <c r="AG298" s="27"/>
      <c r="AH298" s="27"/>
      <c r="AI298" s="27"/>
      <c r="AJ298" s="28"/>
      <c r="AK298" s="20"/>
      <c r="AL298" s="20"/>
      <c r="AM298" s="20"/>
      <c r="AN298" s="20"/>
      <c r="AO298" s="20"/>
      <c r="AP298" s="20"/>
      <c r="AQ298" s="27"/>
      <c r="AR298" s="27"/>
      <c r="AS298" s="27">
        <v>0</v>
      </c>
      <c r="AT298" s="27">
        <v>0</v>
      </c>
      <c r="AU298" s="27">
        <f>0+797478</f>
        <v>797478</v>
      </c>
      <c r="AV298" s="27">
        <v>0</v>
      </c>
      <c r="AW298" s="27">
        <v>1175994</v>
      </c>
      <c r="AX298" s="27">
        <f>AS298+AT298+AU298+AV298+AW298</f>
        <v>1973472</v>
      </c>
      <c r="AY298" s="27">
        <v>0</v>
      </c>
      <c r="AZ298" s="27">
        <v>0</v>
      </c>
      <c r="BA298" s="27">
        <f>3136820+797478</f>
        <v>3934298</v>
      </c>
      <c r="BB298" s="27">
        <v>0</v>
      </c>
      <c r="BC298" s="27">
        <v>1175994</v>
      </c>
      <c r="BD298" s="27">
        <f>SUM(AY298:BC298)</f>
        <v>5110292</v>
      </c>
      <c r="BE298" s="29">
        <f t="shared" si="238"/>
        <v>0</v>
      </c>
      <c r="BF298" s="29">
        <f t="shared" si="239"/>
        <v>0.45869938575015673</v>
      </c>
      <c r="BG298" s="29">
        <f t="shared" si="240"/>
        <v>3.3147643417141652E-2</v>
      </c>
      <c r="BH298" s="20"/>
      <c r="BI298" s="20"/>
      <c r="BJ298" s="5"/>
      <c r="BK298" s="5"/>
      <c r="BL298" s="5"/>
      <c r="BM298" s="5"/>
      <c r="BN298" s="5"/>
      <c r="BO298" s="5"/>
      <c r="BP298" s="5"/>
      <c r="BQ298" s="43"/>
      <c r="BR298" s="43"/>
      <c r="BS298" s="43"/>
      <c r="BT298" s="44"/>
      <c r="BU298" s="43"/>
      <c r="BV298" s="5"/>
      <c r="BW298" s="43"/>
      <c r="BX298" s="43"/>
      <c r="BY298" s="43"/>
      <c r="BZ298" s="44"/>
      <c r="CA298" s="43"/>
      <c r="CB298" s="5"/>
      <c r="CC298" s="45"/>
      <c r="CD298" s="45"/>
      <c r="CE298" s="45"/>
      <c r="CF298" s="46"/>
      <c r="CG298" s="45"/>
      <c r="CH298" s="5"/>
      <c r="CI298" s="44"/>
      <c r="CJ298" s="44"/>
      <c r="CK298" s="44"/>
      <c r="CL298" s="44"/>
      <c r="CM298" s="44"/>
      <c r="CN298" s="47"/>
      <c r="CO298" s="5"/>
      <c r="CP298" s="47"/>
      <c r="CQ298" s="47"/>
      <c r="CR298" s="47"/>
      <c r="CS298" s="47"/>
      <c r="CT298" s="47"/>
      <c r="CU298" s="47"/>
    </row>
    <row r="299" spans="1:99" ht="15" customHeight="1">
      <c r="A299" s="5"/>
      <c r="B299" s="37" t="s">
        <v>462</v>
      </c>
      <c r="C299" s="37" t="s">
        <v>252</v>
      </c>
      <c r="D299" s="37" t="s">
        <v>253</v>
      </c>
      <c r="E299" s="26">
        <v>42551</v>
      </c>
      <c r="F299" s="26"/>
      <c r="G299" s="4">
        <v>10059182</v>
      </c>
      <c r="H299" s="4">
        <v>1881231</v>
      </c>
      <c r="I299" s="4">
        <v>15535959</v>
      </c>
      <c r="J299" s="4">
        <v>10718685</v>
      </c>
      <c r="K299" s="4">
        <v>10685428</v>
      </c>
      <c r="L299" s="4">
        <v>0</v>
      </c>
      <c r="M299" s="4">
        <v>0</v>
      </c>
      <c r="N299" s="4">
        <f>14683164+22196</f>
        <v>14705360</v>
      </c>
      <c r="O299" s="4">
        <f>11179278+8146</f>
        <v>11187424</v>
      </c>
      <c r="P299" s="4">
        <f t="shared" si="244"/>
        <v>25892784</v>
      </c>
      <c r="Q299" s="4">
        <v>24669631</v>
      </c>
      <c r="R299" s="4">
        <f t="shared" si="242"/>
        <v>1223153</v>
      </c>
      <c r="S299" s="27"/>
      <c r="T299" s="27"/>
      <c r="U299" s="27"/>
      <c r="V299" s="27"/>
      <c r="W299" s="27"/>
      <c r="X299" s="27"/>
      <c r="Y299" s="27"/>
      <c r="Z299" s="27"/>
      <c r="AA299" s="27"/>
      <c r="AB299" s="27"/>
      <c r="AC299" s="27"/>
      <c r="AD299" s="27"/>
      <c r="AE299" s="27"/>
      <c r="AF299" s="27"/>
      <c r="AG299" s="27"/>
      <c r="AH299" s="27"/>
      <c r="AI299" s="27"/>
      <c r="AJ299" s="28"/>
      <c r="AK299" s="20"/>
      <c r="AL299" s="20"/>
      <c r="AM299" s="20"/>
      <c r="AN299" s="20"/>
      <c r="AO299" s="20"/>
      <c r="AP299" s="20"/>
      <c r="AQ299" s="27"/>
      <c r="AR299" s="27"/>
      <c r="AS299" s="27"/>
      <c r="AT299" s="27"/>
      <c r="AU299" s="27"/>
      <c r="AV299" s="27"/>
      <c r="AW299" s="27"/>
      <c r="AX299" s="27"/>
      <c r="AY299" s="27"/>
      <c r="AZ299" s="27"/>
      <c r="BA299" s="27"/>
      <c r="BB299" s="27"/>
      <c r="BC299" s="27"/>
      <c r="BD299" s="27"/>
      <c r="BE299" s="29">
        <f t="shared" si="238"/>
        <v>0</v>
      </c>
      <c r="BF299" s="20" t="e">
        <f t="shared" si="239"/>
        <v>#DIV/0!</v>
      </c>
      <c r="BG299" s="29">
        <f t="shared" si="240"/>
        <v>0</v>
      </c>
      <c r="BH299" s="20"/>
      <c r="BI299" s="20"/>
      <c r="BJ299" s="5"/>
      <c r="BK299" s="5"/>
      <c r="BL299" s="5"/>
      <c r="BM299" s="5"/>
      <c r="BN299" s="5"/>
      <c r="BO299" s="5"/>
      <c r="BP299" s="5"/>
      <c r="BQ299" s="43"/>
      <c r="BR299" s="43"/>
      <c r="BS299" s="43"/>
      <c r="BT299" s="44"/>
      <c r="BU299" s="43"/>
      <c r="BV299" s="5"/>
      <c r="BW299" s="43"/>
      <c r="BX299" s="43"/>
      <c r="BY299" s="43"/>
      <c r="BZ299" s="44"/>
      <c r="CA299" s="43"/>
      <c r="CB299" s="5"/>
      <c r="CC299" s="45"/>
      <c r="CD299" s="45"/>
      <c r="CE299" s="45"/>
      <c r="CF299" s="46"/>
      <c r="CG299" s="45"/>
      <c r="CH299" s="5"/>
      <c r="CI299" s="44"/>
      <c r="CJ299" s="44"/>
      <c r="CK299" s="44"/>
      <c r="CL299" s="44"/>
      <c r="CM299" s="44"/>
      <c r="CN299" s="47"/>
      <c r="CO299" s="5"/>
      <c r="CP299" s="47"/>
      <c r="CQ299" s="47"/>
      <c r="CR299" s="47"/>
      <c r="CS299" s="47"/>
      <c r="CT299" s="47"/>
      <c r="CU299" s="47"/>
    </row>
    <row r="300" spans="1:99" ht="15" customHeight="1">
      <c r="A300" s="5"/>
      <c r="B300" s="37" t="s">
        <v>463</v>
      </c>
      <c r="C300" s="37" t="s">
        <v>252</v>
      </c>
      <c r="D300" s="37" t="s">
        <v>253</v>
      </c>
      <c r="E300" s="26">
        <v>42551</v>
      </c>
      <c r="F300" s="26"/>
      <c r="G300" s="4">
        <v>534045</v>
      </c>
      <c r="H300" s="4">
        <f>109157-25871-6468</f>
        <v>76818</v>
      </c>
      <c r="I300" s="4">
        <v>680451</v>
      </c>
      <c r="J300" s="4">
        <v>571294</v>
      </c>
      <c r="K300" s="4">
        <v>424888</v>
      </c>
      <c r="L300" s="4">
        <v>405821</v>
      </c>
      <c r="M300" s="4">
        <v>0</v>
      </c>
      <c r="N300" s="4">
        <v>268681</v>
      </c>
      <c r="O300" s="4">
        <v>321393</v>
      </c>
      <c r="P300" s="4">
        <f t="shared" si="244"/>
        <v>995895</v>
      </c>
      <c r="Q300" s="4">
        <v>976566</v>
      </c>
      <c r="R300" s="4">
        <f t="shared" si="242"/>
        <v>19329</v>
      </c>
      <c r="S300" s="27">
        <v>760995</v>
      </c>
      <c r="T300" s="27">
        <v>720324</v>
      </c>
      <c r="U300" s="27">
        <v>995895</v>
      </c>
      <c r="V300" s="27">
        <v>998938</v>
      </c>
      <c r="W300" s="27">
        <v>40671</v>
      </c>
      <c r="X300" s="27">
        <v>6468</v>
      </c>
      <c r="Y300" s="27">
        <v>0</v>
      </c>
      <c r="Z300" s="27">
        <v>0</v>
      </c>
      <c r="AA300" s="27">
        <f>32339-X300-Y300-Z300</f>
        <v>25871</v>
      </c>
      <c r="AB300" s="27">
        <f>X300+Y300+Z300+AA300</f>
        <v>32339</v>
      </c>
      <c r="AC300" s="27"/>
      <c r="AD300" s="27"/>
      <c r="AE300" s="27"/>
      <c r="AF300" s="27"/>
      <c r="AG300" s="27"/>
      <c r="AH300" s="27"/>
      <c r="AI300" s="27"/>
      <c r="AJ300" s="28"/>
      <c r="AK300" s="20"/>
      <c r="AL300" s="20"/>
      <c r="AM300" s="20"/>
      <c r="AN300" s="20"/>
      <c r="AO300" s="20"/>
      <c r="AP300" s="20"/>
      <c r="AQ300" s="27"/>
      <c r="AR300" s="27"/>
      <c r="AS300" s="27">
        <v>0</v>
      </c>
      <c r="AT300" s="27">
        <v>0</v>
      </c>
      <c r="AU300" s="27">
        <v>0</v>
      </c>
      <c r="AV300" s="27">
        <v>0</v>
      </c>
      <c r="AW300" s="27">
        <v>295662</v>
      </c>
      <c r="AX300" s="27">
        <f>AS300+AT300+AU300+AV300+AW300</f>
        <v>295662</v>
      </c>
      <c r="AY300" s="27">
        <v>0</v>
      </c>
      <c r="AZ300" s="27">
        <v>161565</v>
      </c>
      <c r="BA300" s="27">
        <v>0</v>
      </c>
      <c r="BB300" s="27">
        <v>0</v>
      </c>
      <c r="BC300" s="27">
        <v>295662</v>
      </c>
      <c r="BD300" s="27">
        <f>SUM(AY300:BC300)</f>
        <v>457227</v>
      </c>
      <c r="BE300" s="29">
        <f t="shared" si="238"/>
        <v>0</v>
      </c>
      <c r="BF300" s="29">
        <f t="shared" si="239"/>
        <v>0.41045696103420126</v>
      </c>
      <c r="BG300" s="29">
        <f t="shared" si="240"/>
        <v>3.2472298786518659E-2</v>
      </c>
      <c r="BH300" s="20"/>
      <c r="BI300" s="20"/>
      <c r="BJ300" s="5"/>
      <c r="BK300" s="5"/>
      <c r="BL300" s="5"/>
      <c r="BM300" s="5"/>
      <c r="BN300" s="5"/>
      <c r="BO300" s="5"/>
      <c r="BP300" s="5"/>
      <c r="BQ300" s="43"/>
      <c r="BR300" s="43"/>
      <c r="BS300" s="43"/>
      <c r="BT300" s="44"/>
      <c r="BU300" s="43"/>
      <c r="BV300" s="5"/>
      <c r="BW300" s="43"/>
      <c r="BX300" s="43"/>
      <c r="BY300" s="43"/>
      <c r="BZ300" s="44"/>
      <c r="CA300" s="43"/>
      <c r="CB300" s="5"/>
      <c r="CC300" s="45"/>
      <c r="CD300" s="45"/>
      <c r="CE300" s="45"/>
      <c r="CF300" s="46"/>
      <c r="CG300" s="45"/>
      <c r="CH300" s="5"/>
      <c r="CI300" s="44"/>
      <c r="CJ300" s="44"/>
      <c r="CK300" s="44"/>
      <c r="CL300" s="44"/>
      <c r="CM300" s="44"/>
      <c r="CN300" s="47"/>
      <c r="CO300" s="5"/>
      <c r="CP300" s="47"/>
      <c r="CQ300" s="47"/>
      <c r="CR300" s="47"/>
      <c r="CS300" s="47"/>
      <c r="CT300" s="47"/>
      <c r="CU300" s="47"/>
    </row>
    <row r="301" spans="1:99" ht="15" customHeight="1">
      <c r="A301" s="5"/>
      <c r="B301" s="37" t="s">
        <v>464</v>
      </c>
      <c r="C301" s="37" t="s">
        <v>252</v>
      </c>
      <c r="D301" s="37" t="s">
        <v>253</v>
      </c>
      <c r="E301" s="26">
        <v>42551</v>
      </c>
      <c r="F301" s="26"/>
      <c r="G301" s="4">
        <f>30064983-22184535-97499</f>
        <v>7782949</v>
      </c>
      <c r="H301" s="4">
        <f t="shared" ref="H301:H323" si="245">7420762-2122858-650073</f>
        <v>4647831</v>
      </c>
      <c r="I301" s="4">
        <v>30064983</v>
      </c>
      <c r="J301" s="4">
        <v>22644221</v>
      </c>
      <c r="K301" s="4">
        <v>2553111</v>
      </c>
      <c r="L301" s="4">
        <v>329528</v>
      </c>
      <c r="M301" s="4">
        <v>0</v>
      </c>
      <c r="N301" s="4">
        <v>20024109</v>
      </c>
      <c r="O301" s="4">
        <v>20510944</v>
      </c>
      <c r="P301" s="4">
        <f t="shared" si="244"/>
        <v>40864581</v>
      </c>
      <c r="Q301" s="4">
        <v>41743459</v>
      </c>
      <c r="R301" s="4">
        <f t="shared" si="242"/>
        <v>-878878</v>
      </c>
      <c r="S301" s="27">
        <v>23461305</v>
      </c>
      <c r="T301" s="27">
        <v>22390062</v>
      </c>
      <c r="U301" s="27">
        <v>40841381</v>
      </c>
      <c r="V301" s="27">
        <v>40022777</v>
      </c>
      <c r="W301" s="27">
        <v>748832</v>
      </c>
      <c r="X301" s="27">
        <v>650073</v>
      </c>
      <c r="Y301" s="27">
        <v>0</v>
      </c>
      <c r="Z301" s="27">
        <v>437511</v>
      </c>
      <c r="AA301" s="27">
        <f>2772931-X301-Y301-Z301</f>
        <v>1685347</v>
      </c>
      <c r="AB301" s="27">
        <f>X301+Y301+Z301+AA301</f>
        <v>2772931</v>
      </c>
      <c r="AC301" s="27">
        <v>437511</v>
      </c>
      <c r="AD301" s="27">
        <v>0</v>
      </c>
      <c r="AE301" s="27">
        <f>AC301+AD301</f>
        <v>437511</v>
      </c>
      <c r="AF301" s="27">
        <v>0</v>
      </c>
      <c r="AG301" s="27">
        <v>54902</v>
      </c>
      <c r="AH301" s="27">
        <v>51166</v>
      </c>
      <c r="AI301" s="27">
        <v>16343</v>
      </c>
      <c r="AJ301" s="28">
        <v>42185</v>
      </c>
      <c r="AK301" s="27">
        <v>0</v>
      </c>
      <c r="AL301" s="27">
        <v>311780</v>
      </c>
      <c r="AM301" s="27">
        <f>AL301-AK301</f>
        <v>311780</v>
      </c>
      <c r="AN301" s="29">
        <f>AK301/AL301</f>
        <v>0</v>
      </c>
      <c r="AO301" s="29">
        <v>4.4999999999999998E-2</v>
      </c>
      <c r="AP301" s="29">
        <v>1.4999999999999999E-2</v>
      </c>
      <c r="AQ301" s="27"/>
      <c r="AR301" s="27"/>
      <c r="AS301" s="27">
        <v>52859</v>
      </c>
      <c r="AT301" s="27">
        <v>0</v>
      </c>
      <c r="AU301" s="27">
        <v>0</v>
      </c>
      <c r="AV301" s="27">
        <v>0</v>
      </c>
      <c r="AW301" s="27">
        <v>4136190</v>
      </c>
      <c r="AX301" s="27">
        <f>AS301+AT301+AU301+AV301+AW301</f>
        <v>4189049</v>
      </c>
      <c r="AY301" s="27">
        <v>72508</v>
      </c>
      <c r="AZ301" s="27">
        <v>59725</v>
      </c>
      <c r="BA301" s="27">
        <v>0</v>
      </c>
      <c r="BB301" s="27">
        <v>0</v>
      </c>
      <c r="BC301" s="27">
        <v>4060695</v>
      </c>
      <c r="BD301" s="27">
        <f>SUM(AY301:BC301)</f>
        <v>4192928</v>
      </c>
      <c r="BE301" s="29">
        <f t="shared" si="238"/>
        <v>0</v>
      </c>
      <c r="BF301" s="29">
        <f t="shared" si="239"/>
        <v>0.18709412238340384</v>
      </c>
      <c r="BG301" s="29">
        <f t="shared" si="240"/>
        <v>6.785658710167615E-2</v>
      </c>
      <c r="BH301" s="20"/>
      <c r="BI301" s="20"/>
      <c r="BJ301" s="5"/>
      <c r="BK301" s="5"/>
      <c r="BL301" s="5"/>
      <c r="BM301" s="5"/>
      <c r="BN301" s="5"/>
      <c r="BO301" s="5"/>
      <c r="BP301" s="5"/>
      <c r="BQ301" s="43"/>
      <c r="BR301" s="43"/>
      <c r="BS301" s="43"/>
      <c r="BT301" s="44"/>
      <c r="BU301" s="43"/>
      <c r="BV301" s="5"/>
      <c r="BW301" s="43"/>
      <c r="BX301" s="43"/>
      <c r="BY301" s="43"/>
      <c r="BZ301" s="44"/>
      <c r="CA301" s="43"/>
      <c r="CB301" s="5"/>
      <c r="CC301" s="45"/>
      <c r="CD301" s="45"/>
      <c r="CE301" s="45"/>
      <c r="CF301" s="46"/>
      <c r="CG301" s="45"/>
      <c r="CH301" s="5"/>
      <c r="CI301" s="44"/>
      <c r="CJ301" s="44"/>
      <c r="CK301" s="44"/>
      <c r="CL301" s="44"/>
      <c r="CM301" s="44"/>
      <c r="CN301" s="47"/>
      <c r="CO301" s="5"/>
      <c r="CP301" s="47"/>
      <c r="CQ301" s="47"/>
      <c r="CR301" s="47"/>
      <c r="CS301" s="47"/>
      <c r="CT301" s="47"/>
      <c r="CU301" s="47"/>
    </row>
    <row r="302" spans="1:99" ht="15" customHeight="1">
      <c r="A302" s="5"/>
      <c r="B302" s="37" t="s">
        <v>465</v>
      </c>
      <c r="C302" s="37" t="s">
        <v>252</v>
      </c>
      <c r="D302" s="37" t="s">
        <v>253</v>
      </c>
      <c r="E302" s="26">
        <v>42551</v>
      </c>
      <c r="F302" s="26"/>
      <c r="G302" s="4">
        <v>48378633</v>
      </c>
      <c r="H302" s="4">
        <v>65547139</v>
      </c>
      <c r="I302" s="4">
        <v>175854161</v>
      </c>
      <c r="J302" s="4">
        <v>16843357</v>
      </c>
      <c r="K302" s="4">
        <v>-353132</v>
      </c>
      <c r="L302" s="4">
        <v>12479167</v>
      </c>
      <c r="M302" s="4">
        <v>0</v>
      </c>
      <c r="N302" s="4">
        <v>283677310</v>
      </c>
      <c r="O302" s="4">
        <f>678671+862150</f>
        <v>1540821</v>
      </c>
      <c r="P302" s="4">
        <f t="shared" si="244"/>
        <v>297697298</v>
      </c>
      <c r="Q302" s="4">
        <v>331558484</v>
      </c>
      <c r="R302" s="4">
        <f t="shared" si="242"/>
        <v>-33861186</v>
      </c>
      <c r="S302" s="27"/>
      <c r="T302" s="27"/>
      <c r="U302" s="27"/>
      <c r="V302" s="27"/>
      <c r="W302" s="27"/>
      <c r="X302" s="27"/>
      <c r="Y302" s="27"/>
      <c r="Z302" s="27"/>
      <c r="AA302" s="27"/>
      <c r="AB302" s="27"/>
      <c r="AC302" s="27"/>
      <c r="AD302" s="27"/>
      <c r="AE302" s="27"/>
      <c r="AF302" s="27"/>
      <c r="AG302" s="27"/>
      <c r="AH302" s="27"/>
      <c r="AI302" s="27"/>
      <c r="AJ302" s="28"/>
      <c r="AK302" s="20"/>
      <c r="AL302" s="20"/>
      <c r="AM302" s="20"/>
      <c r="AN302" s="20"/>
      <c r="AO302" s="20"/>
      <c r="AP302" s="20"/>
      <c r="AQ302" s="27"/>
      <c r="AR302" s="27"/>
      <c r="AS302" s="27"/>
      <c r="AT302" s="27"/>
      <c r="AU302" s="27"/>
      <c r="AV302" s="27"/>
      <c r="AW302" s="27"/>
      <c r="AX302" s="27"/>
      <c r="AY302" s="27"/>
      <c r="AZ302" s="27"/>
      <c r="BA302" s="27"/>
      <c r="BB302" s="27"/>
      <c r="BC302" s="27"/>
      <c r="BD302" s="27"/>
      <c r="BE302" s="29">
        <f t="shared" si="238"/>
        <v>0</v>
      </c>
      <c r="BF302" s="20" t="e">
        <f t="shared" si="239"/>
        <v>#DIV/0!</v>
      </c>
      <c r="BG302" s="29">
        <f t="shared" si="240"/>
        <v>0</v>
      </c>
      <c r="BH302" s="20"/>
      <c r="BI302" s="20"/>
      <c r="BJ302" s="5"/>
      <c r="BK302" s="5"/>
      <c r="BL302" s="5"/>
      <c r="BM302" s="5"/>
      <c r="BN302" s="5"/>
      <c r="BO302" s="5"/>
      <c r="BP302" s="5"/>
      <c r="BQ302" s="43"/>
      <c r="BR302" s="43"/>
      <c r="BS302" s="43"/>
      <c r="BT302" s="44"/>
      <c r="BU302" s="43"/>
      <c r="BV302" s="5"/>
      <c r="BW302" s="43"/>
      <c r="BX302" s="43"/>
      <c r="BY302" s="43"/>
      <c r="BZ302" s="44"/>
      <c r="CA302" s="43"/>
      <c r="CB302" s="5"/>
      <c r="CC302" s="45"/>
      <c r="CD302" s="45"/>
      <c r="CE302" s="45"/>
      <c r="CF302" s="46"/>
      <c r="CG302" s="45"/>
      <c r="CH302" s="5"/>
      <c r="CI302" s="44"/>
      <c r="CJ302" s="44"/>
      <c r="CK302" s="44"/>
      <c r="CL302" s="44"/>
      <c r="CM302" s="44"/>
      <c r="CN302" s="47"/>
      <c r="CO302" s="5"/>
      <c r="CP302" s="47"/>
      <c r="CQ302" s="47"/>
      <c r="CR302" s="47"/>
      <c r="CS302" s="47"/>
      <c r="CT302" s="47"/>
      <c r="CU302" s="47"/>
    </row>
    <row r="303" spans="1:99" ht="15" customHeight="1">
      <c r="A303" s="5"/>
      <c r="B303" s="37" t="s">
        <v>466</v>
      </c>
      <c r="C303" s="37" t="s">
        <v>252</v>
      </c>
      <c r="D303" s="37" t="s">
        <v>253</v>
      </c>
      <c r="E303" s="26">
        <v>42551</v>
      </c>
      <c r="F303" s="26"/>
      <c r="G303" s="4">
        <f>987705-7916-108954</f>
        <v>870835</v>
      </c>
      <c r="H303" s="4">
        <v>134886</v>
      </c>
      <c r="I303" s="4">
        <v>987705</v>
      </c>
      <c r="J303" s="4">
        <v>852819</v>
      </c>
      <c r="K303" s="4">
        <v>722766</v>
      </c>
      <c r="L303" s="4">
        <v>11170</v>
      </c>
      <c r="M303" s="4">
        <v>0</v>
      </c>
      <c r="N303" s="4">
        <v>258477</v>
      </c>
      <c r="O303" s="4">
        <v>1156237</v>
      </c>
      <c r="P303" s="4">
        <f t="shared" si="244"/>
        <v>1425884</v>
      </c>
      <c r="Q303" s="4">
        <v>1433349</v>
      </c>
      <c r="R303" s="4">
        <f t="shared" si="242"/>
        <v>-7465</v>
      </c>
      <c r="S303" s="27">
        <v>1425884</v>
      </c>
      <c r="T303" s="27">
        <v>1465612</v>
      </c>
      <c r="U303" s="27">
        <v>1425884</v>
      </c>
      <c r="V303" s="27">
        <v>1465612</v>
      </c>
      <c r="W303" s="27">
        <v>-39728</v>
      </c>
      <c r="X303" s="27"/>
      <c r="Y303" s="27"/>
      <c r="Z303" s="27"/>
      <c r="AA303" s="27"/>
      <c r="AB303" s="27"/>
      <c r="AC303" s="27"/>
      <c r="AD303" s="27"/>
      <c r="AE303" s="27"/>
      <c r="AF303" s="27"/>
      <c r="AG303" s="27"/>
      <c r="AH303" s="27"/>
      <c r="AI303" s="27"/>
      <c r="AJ303" s="28"/>
      <c r="AK303" s="20"/>
      <c r="AL303" s="20"/>
      <c r="AM303" s="20"/>
      <c r="AN303" s="20"/>
      <c r="AO303" s="20"/>
      <c r="AP303" s="20"/>
      <c r="AQ303" s="27"/>
      <c r="AR303" s="27"/>
      <c r="AS303" s="27">
        <v>0</v>
      </c>
      <c r="AT303" s="27">
        <v>0</v>
      </c>
      <c r="AU303" s="27">
        <v>0</v>
      </c>
      <c r="AV303" s="27">
        <v>0</v>
      </c>
      <c r="AW303" s="27">
        <v>811892</v>
      </c>
      <c r="AX303" s="27">
        <v>811892</v>
      </c>
      <c r="AY303" s="27">
        <v>0</v>
      </c>
      <c r="AZ303" s="27">
        <v>0</v>
      </c>
      <c r="BA303" s="27">
        <v>0</v>
      </c>
      <c r="BB303" s="27">
        <v>0</v>
      </c>
      <c r="BC303" s="27">
        <v>811892</v>
      </c>
      <c r="BD303" s="27">
        <v>811892</v>
      </c>
      <c r="BE303" s="29">
        <f t="shared" si="238"/>
        <v>0</v>
      </c>
      <c r="BF303" s="29">
        <f t="shared" si="239"/>
        <v>0.55396107564621466</v>
      </c>
      <c r="BG303" s="29">
        <f t="shared" si="240"/>
        <v>0</v>
      </c>
      <c r="BH303" s="20"/>
      <c r="BI303" s="20"/>
      <c r="BJ303" s="5"/>
      <c r="BK303" s="5"/>
      <c r="BL303" s="5"/>
      <c r="BM303" s="5"/>
      <c r="BN303" s="5"/>
      <c r="BO303" s="5"/>
      <c r="BP303" s="5"/>
      <c r="BQ303" s="43"/>
      <c r="BR303" s="43"/>
      <c r="BS303" s="43"/>
      <c r="BT303" s="44"/>
      <c r="BU303" s="43"/>
      <c r="BV303" s="5"/>
      <c r="BW303" s="43"/>
      <c r="BX303" s="43"/>
      <c r="BY303" s="43"/>
      <c r="BZ303" s="44"/>
      <c r="CA303" s="43"/>
      <c r="CB303" s="5"/>
      <c r="CC303" s="45"/>
      <c r="CD303" s="45"/>
      <c r="CE303" s="45"/>
      <c r="CF303" s="46"/>
      <c r="CG303" s="45"/>
      <c r="CH303" s="5"/>
      <c r="CI303" s="44"/>
      <c r="CJ303" s="44"/>
      <c r="CK303" s="44"/>
      <c r="CL303" s="44"/>
      <c r="CM303" s="44"/>
      <c r="CN303" s="47"/>
      <c r="CO303" s="5"/>
      <c r="CP303" s="47"/>
      <c r="CQ303" s="47"/>
      <c r="CR303" s="47"/>
      <c r="CS303" s="47"/>
      <c r="CT303" s="47"/>
      <c r="CU303" s="47"/>
    </row>
    <row r="304" spans="1:99" ht="15" customHeight="1">
      <c r="A304" s="5"/>
      <c r="B304" s="37" t="s">
        <v>467</v>
      </c>
      <c r="C304" s="37" t="s">
        <v>252</v>
      </c>
      <c r="D304" s="37" t="s">
        <v>253</v>
      </c>
      <c r="E304" s="26">
        <v>42643</v>
      </c>
      <c r="F304" s="26"/>
      <c r="G304" s="4">
        <v>6245021</v>
      </c>
      <c r="H304" s="4">
        <v>1051131</v>
      </c>
      <c r="I304" s="4">
        <v>17552874</v>
      </c>
      <c r="J304" s="4">
        <v>11375885</v>
      </c>
      <c r="K304" s="4">
        <v>2335494</v>
      </c>
      <c r="L304" s="4">
        <v>405295</v>
      </c>
      <c r="M304" s="4">
        <v>0</v>
      </c>
      <c r="N304" s="4">
        <v>2527110</v>
      </c>
      <c r="O304" s="4">
        <f>6641074+1062737</f>
        <v>7703811</v>
      </c>
      <c r="P304" s="4">
        <f t="shared" si="244"/>
        <v>10636216</v>
      </c>
      <c r="Q304" s="4">
        <v>10242924</v>
      </c>
      <c r="R304" s="4">
        <f t="shared" si="242"/>
        <v>393292</v>
      </c>
      <c r="S304" s="27"/>
      <c r="T304" s="27"/>
      <c r="U304" s="27"/>
      <c r="V304" s="27"/>
      <c r="W304" s="27"/>
      <c r="X304" s="27">
        <f>41164+187315</f>
        <v>228479</v>
      </c>
      <c r="Y304" s="27">
        <v>939725</v>
      </c>
      <c r="Z304" s="27">
        <v>1622263</v>
      </c>
      <c r="AA304" s="27">
        <f>2479336+2932460-Z304-Y304-X304</f>
        <v>2621329</v>
      </c>
      <c r="AB304" s="27">
        <f>X304+Y304+Z304+AA304</f>
        <v>5411796</v>
      </c>
      <c r="AC304" s="27">
        <v>1622263</v>
      </c>
      <c r="AD304" s="27">
        <v>0</v>
      </c>
      <c r="AE304" s="27">
        <f>AC304+AD304</f>
        <v>1622263</v>
      </c>
      <c r="AF304" s="27">
        <v>0</v>
      </c>
      <c r="AG304" s="27">
        <v>229525</v>
      </c>
      <c r="AH304" s="27">
        <v>306897</v>
      </c>
      <c r="AI304" s="27">
        <v>50131</v>
      </c>
      <c r="AJ304" s="28">
        <v>42278</v>
      </c>
      <c r="AK304" s="27">
        <v>0</v>
      </c>
      <c r="AL304" s="27">
        <v>3986013</v>
      </c>
      <c r="AM304" s="27">
        <f>AL304-AK304</f>
        <v>3986013</v>
      </c>
      <c r="AN304" s="29">
        <f>AK304/AL304</f>
        <v>0</v>
      </c>
      <c r="AO304" s="29">
        <v>0.04</v>
      </c>
      <c r="AP304" s="29">
        <v>3.5000000000000003E-2</v>
      </c>
      <c r="AQ304" s="27">
        <v>229525</v>
      </c>
      <c r="AR304" s="27">
        <v>50131</v>
      </c>
      <c r="AS304" s="27"/>
      <c r="AT304" s="27"/>
      <c r="AU304" s="27"/>
      <c r="AV304" s="27"/>
      <c r="AW304" s="27"/>
      <c r="AX304" s="27"/>
      <c r="AY304" s="27"/>
      <c r="AZ304" s="27"/>
      <c r="BA304" s="27"/>
      <c r="BB304" s="27"/>
      <c r="BC304" s="27"/>
      <c r="BD304" s="27"/>
      <c r="BE304" s="29">
        <f t="shared" si="238"/>
        <v>2.1579573036124879E-2</v>
      </c>
      <c r="BF304" s="20" t="e">
        <f t="shared" si="239"/>
        <v>#DIV/0!</v>
      </c>
      <c r="BG304" s="29">
        <f t="shared" si="240"/>
        <v>0.42045695574441133</v>
      </c>
      <c r="BH304" s="20"/>
      <c r="BI304" s="20"/>
      <c r="BJ304" s="5"/>
      <c r="BK304" s="5"/>
      <c r="BL304" s="5"/>
      <c r="BM304" s="5"/>
      <c r="BN304" s="5"/>
      <c r="BO304" s="5"/>
      <c r="BP304" s="5"/>
      <c r="BQ304" s="43"/>
      <c r="BR304" s="43"/>
      <c r="BS304" s="43"/>
      <c r="BT304" s="44"/>
      <c r="BU304" s="43"/>
      <c r="BV304" s="5"/>
      <c r="BW304" s="43"/>
      <c r="BX304" s="43"/>
      <c r="BY304" s="43"/>
      <c r="BZ304" s="44"/>
      <c r="CA304" s="43"/>
      <c r="CB304" s="5"/>
      <c r="CC304" s="45"/>
      <c r="CD304" s="45"/>
      <c r="CE304" s="45"/>
      <c r="CF304" s="46"/>
      <c r="CG304" s="45"/>
      <c r="CH304" s="5"/>
      <c r="CI304" s="44"/>
      <c r="CJ304" s="44"/>
      <c r="CK304" s="44"/>
      <c r="CL304" s="44"/>
      <c r="CM304" s="44"/>
      <c r="CN304" s="47"/>
      <c r="CO304" s="5"/>
      <c r="CP304" s="47"/>
      <c r="CQ304" s="47"/>
      <c r="CR304" s="47"/>
      <c r="CS304" s="47"/>
      <c r="CT304" s="47"/>
      <c r="CU304" s="47"/>
    </row>
    <row r="305" spans="1:99" ht="15" customHeight="1">
      <c r="A305" s="5"/>
      <c r="B305" s="37" t="s">
        <v>468</v>
      </c>
      <c r="C305" s="37" t="s">
        <v>252</v>
      </c>
      <c r="D305" s="37" t="s">
        <v>253</v>
      </c>
      <c r="E305" s="26">
        <v>42643</v>
      </c>
      <c r="F305" s="26"/>
      <c r="G305" s="4">
        <v>29450852</v>
      </c>
      <c r="H305" s="4">
        <v>24026070</v>
      </c>
      <c r="I305" s="4">
        <v>93815672</v>
      </c>
      <c r="J305" s="4">
        <v>-13185092</v>
      </c>
      <c r="K305" s="4">
        <v>-19667186</v>
      </c>
      <c r="L305" s="4">
        <f>6622739+495129</f>
        <v>7117868</v>
      </c>
      <c r="M305" s="4">
        <v>0</v>
      </c>
      <c r="N305" s="4">
        <v>127013156</v>
      </c>
      <c r="O305" s="4">
        <v>0</v>
      </c>
      <c r="P305" s="4">
        <f t="shared" si="244"/>
        <v>134131024</v>
      </c>
      <c r="Q305" s="4">
        <v>133792367</v>
      </c>
      <c r="R305" s="4">
        <f t="shared" si="242"/>
        <v>338657</v>
      </c>
      <c r="S305" s="27"/>
      <c r="T305" s="27"/>
      <c r="U305" s="27"/>
      <c r="V305" s="27"/>
      <c r="W305" s="27"/>
      <c r="X305" s="27">
        <v>1616174</v>
      </c>
      <c r="Y305" s="27">
        <v>56290353</v>
      </c>
      <c r="Z305" s="27">
        <v>0</v>
      </c>
      <c r="AA305" s="27">
        <f>25960734-X305</f>
        <v>24344560</v>
      </c>
      <c r="AB305" s="27">
        <f>X305+Y305+Z305+AA305</f>
        <v>82251087</v>
      </c>
      <c r="AC305" s="27"/>
      <c r="AD305" s="27"/>
      <c r="AE305" s="27"/>
      <c r="AF305" s="27"/>
      <c r="AG305" s="27"/>
      <c r="AH305" s="27"/>
      <c r="AI305" s="27"/>
      <c r="AJ305" s="28"/>
      <c r="AK305" s="20"/>
      <c r="AL305" s="20"/>
      <c r="AM305" s="20"/>
      <c r="AN305" s="20"/>
      <c r="AO305" s="20"/>
      <c r="AP305" s="20"/>
      <c r="AQ305" s="27"/>
      <c r="AR305" s="27">
        <v>2655576</v>
      </c>
      <c r="AS305" s="27"/>
      <c r="AT305" s="27"/>
      <c r="AU305" s="27"/>
      <c r="AV305" s="27"/>
      <c r="AW305" s="27"/>
      <c r="AX305" s="27"/>
      <c r="AY305" s="27"/>
      <c r="AZ305" s="27"/>
      <c r="BA305" s="27"/>
      <c r="BB305" s="27"/>
      <c r="BC305" s="27"/>
      <c r="BD305" s="27"/>
      <c r="BE305" s="29">
        <f t="shared" si="238"/>
        <v>0</v>
      </c>
      <c r="BF305" s="20" t="e">
        <f t="shared" si="239"/>
        <v>#DIV/0!</v>
      </c>
      <c r="BG305" s="29">
        <f t="shared" si="240"/>
        <v>0.19354757181306542</v>
      </c>
      <c r="BH305" s="20"/>
      <c r="BI305" s="20"/>
      <c r="BJ305" s="5"/>
      <c r="BK305" s="5"/>
      <c r="BL305" s="5"/>
      <c r="BM305" s="5"/>
      <c r="BN305" s="5"/>
      <c r="BO305" s="5"/>
      <c r="BP305" s="5"/>
      <c r="BQ305" s="43"/>
      <c r="BR305" s="43"/>
      <c r="BS305" s="43"/>
      <c r="BT305" s="44"/>
      <c r="BU305" s="43"/>
      <c r="BV305" s="5"/>
      <c r="BW305" s="43"/>
      <c r="BX305" s="43"/>
      <c r="BY305" s="43"/>
      <c r="BZ305" s="44"/>
      <c r="CA305" s="43"/>
      <c r="CB305" s="5"/>
      <c r="CC305" s="45"/>
      <c r="CD305" s="45"/>
      <c r="CE305" s="45"/>
      <c r="CF305" s="46"/>
      <c r="CG305" s="45"/>
      <c r="CH305" s="5"/>
      <c r="CI305" s="44"/>
      <c r="CJ305" s="44"/>
      <c r="CK305" s="44"/>
      <c r="CL305" s="44"/>
      <c r="CM305" s="44"/>
      <c r="CN305" s="47"/>
      <c r="CO305" s="5"/>
      <c r="CP305" s="47"/>
      <c r="CQ305" s="47"/>
      <c r="CR305" s="47"/>
      <c r="CS305" s="47"/>
      <c r="CT305" s="47"/>
      <c r="CU305" s="47"/>
    </row>
    <row r="306" spans="1:99" ht="15" customHeight="1">
      <c r="A306" s="5"/>
      <c r="B306" s="37" t="s">
        <v>469</v>
      </c>
      <c r="C306" s="37" t="s">
        <v>252</v>
      </c>
      <c r="D306" s="37" t="s">
        <v>253</v>
      </c>
      <c r="E306" s="26">
        <v>42551</v>
      </c>
      <c r="F306" s="26"/>
      <c r="G306" s="4">
        <f>1033605-505026</f>
        <v>528579</v>
      </c>
      <c r="H306" s="4">
        <v>43788</v>
      </c>
      <c r="I306" s="4">
        <v>1033605</v>
      </c>
      <c r="J306" s="4">
        <v>989817</v>
      </c>
      <c r="K306" s="4">
        <v>46743</v>
      </c>
      <c r="L306" s="4">
        <v>337613</v>
      </c>
      <c r="M306" s="4">
        <v>0</v>
      </c>
      <c r="N306" s="4">
        <f>103500+314</f>
        <v>103814</v>
      </c>
      <c r="O306" s="4">
        <v>0</v>
      </c>
      <c r="P306" s="4">
        <f t="shared" si="244"/>
        <v>441427</v>
      </c>
      <c r="Q306" s="4">
        <v>345130</v>
      </c>
      <c r="R306" s="4">
        <f t="shared" si="242"/>
        <v>96297</v>
      </c>
      <c r="S306" s="27">
        <v>337613</v>
      </c>
      <c r="T306" s="27">
        <v>325491</v>
      </c>
      <c r="U306" s="27">
        <v>441427</v>
      </c>
      <c r="V306" s="27">
        <v>651284</v>
      </c>
      <c r="W306" s="27">
        <v>-24028</v>
      </c>
      <c r="X306" s="27"/>
      <c r="Y306" s="27"/>
      <c r="Z306" s="27"/>
      <c r="AA306" s="27"/>
      <c r="AB306" s="27"/>
      <c r="AC306" s="27"/>
      <c r="AD306" s="27"/>
      <c r="AE306" s="27"/>
      <c r="AF306" s="27"/>
      <c r="AG306" s="27"/>
      <c r="AH306" s="27"/>
      <c r="AI306" s="27"/>
      <c r="AJ306" s="28"/>
      <c r="AK306" s="20"/>
      <c r="AL306" s="20"/>
      <c r="AM306" s="20"/>
      <c r="AN306" s="20"/>
      <c r="AO306" s="20"/>
      <c r="AP306" s="20"/>
      <c r="AQ306" s="27"/>
      <c r="AR306" s="27"/>
      <c r="AS306" s="27">
        <v>183</v>
      </c>
      <c r="AT306" s="27">
        <v>0</v>
      </c>
      <c r="AU306" s="27">
        <v>0</v>
      </c>
      <c r="AV306" s="27">
        <v>0</v>
      </c>
      <c r="AW306" s="27">
        <v>46734</v>
      </c>
      <c r="AX306" s="27">
        <f>AS306+AT306+AU306+AV306+AW306</f>
        <v>46917</v>
      </c>
      <c r="AY306" s="27">
        <v>183</v>
      </c>
      <c r="AZ306" s="27">
        <v>0</v>
      </c>
      <c r="BA306" s="27">
        <v>437874</v>
      </c>
      <c r="BB306" s="27">
        <v>0</v>
      </c>
      <c r="BC306" s="27">
        <v>46734</v>
      </c>
      <c r="BD306" s="27">
        <f>SUM(AY306:BC306)</f>
        <v>484791</v>
      </c>
      <c r="BE306" s="29">
        <f t="shared" si="238"/>
        <v>0</v>
      </c>
      <c r="BF306" s="29">
        <f t="shared" si="239"/>
        <v>0.14414223434749349</v>
      </c>
      <c r="BG306" s="29">
        <f t="shared" si="240"/>
        <v>0</v>
      </c>
      <c r="BH306" s="20"/>
      <c r="BI306" s="20"/>
      <c r="BJ306" s="5"/>
      <c r="BK306" s="5"/>
      <c r="BL306" s="5"/>
      <c r="BM306" s="5"/>
      <c r="BN306" s="5"/>
      <c r="BO306" s="5"/>
      <c r="BP306" s="5"/>
      <c r="BQ306" s="43"/>
      <c r="BR306" s="43"/>
      <c r="BS306" s="43"/>
      <c r="BT306" s="44"/>
      <c r="BU306" s="43"/>
      <c r="BV306" s="5"/>
      <c r="BW306" s="43"/>
      <c r="BX306" s="43"/>
      <c r="BY306" s="43"/>
      <c r="BZ306" s="44"/>
      <c r="CA306" s="43"/>
      <c r="CB306" s="5"/>
      <c r="CC306" s="45"/>
      <c r="CD306" s="45"/>
      <c r="CE306" s="45"/>
      <c r="CF306" s="46"/>
      <c r="CG306" s="45"/>
      <c r="CH306" s="5"/>
      <c r="CI306" s="44"/>
      <c r="CJ306" s="44"/>
      <c r="CK306" s="44"/>
      <c r="CL306" s="44"/>
      <c r="CM306" s="44"/>
      <c r="CN306" s="47"/>
      <c r="CO306" s="5"/>
      <c r="CP306" s="47"/>
      <c r="CQ306" s="47"/>
      <c r="CR306" s="47"/>
      <c r="CS306" s="47"/>
      <c r="CT306" s="47"/>
      <c r="CU306" s="47"/>
    </row>
    <row r="307" spans="1:99" ht="15" customHeight="1">
      <c r="A307" s="5"/>
      <c r="B307" s="37" t="s">
        <v>470</v>
      </c>
      <c r="C307" s="37" t="s">
        <v>252</v>
      </c>
      <c r="D307" s="37" t="s">
        <v>253</v>
      </c>
      <c r="E307" s="26">
        <v>42551</v>
      </c>
      <c r="F307" s="26"/>
      <c r="G307" s="4">
        <v>4622367</v>
      </c>
      <c r="H307" s="4">
        <v>628891</v>
      </c>
      <c r="I307" s="4">
        <v>29504310</v>
      </c>
      <c r="J307" s="4">
        <v>21848322</v>
      </c>
      <c r="K307" s="4">
        <v>3891981</v>
      </c>
      <c r="L307" s="4">
        <v>2989805</v>
      </c>
      <c r="M307" s="4">
        <v>113333</v>
      </c>
      <c r="N307" s="4">
        <v>3109732</v>
      </c>
      <c r="O307" s="4">
        <v>64773</v>
      </c>
      <c r="P307" s="4">
        <f t="shared" si="244"/>
        <v>6277643</v>
      </c>
      <c r="Q307" s="4">
        <v>5982858</v>
      </c>
      <c r="R307" s="4">
        <f t="shared" si="242"/>
        <v>294785</v>
      </c>
      <c r="S307" s="27">
        <v>3615077</v>
      </c>
      <c r="T307" s="27">
        <v>3483879</v>
      </c>
      <c r="U307" s="27">
        <v>3916986</v>
      </c>
      <c r="V307" s="27">
        <v>3917792</v>
      </c>
      <c r="W307" s="27">
        <v>81198</v>
      </c>
      <c r="X307" s="27">
        <v>295863</v>
      </c>
      <c r="Y307" s="27">
        <v>513684</v>
      </c>
      <c r="Z307" s="27">
        <v>0</v>
      </c>
      <c r="AA307" s="27">
        <f>2172590-X307-Y307-Z307</f>
        <v>1363043</v>
      </c>
      <c r="AB307" s="27">
        <f>X307+Y307+Z307+AA307</f>
        <v>2172590</v>
      </c>
      <c r="AC307" s="27"/>
      <c r="AD307" s="27"/>
      <c r="AE307" s="27"/>
      <c r="AF307" s="27"/>
      <c r="AG307" s="27"/>
      <c r="AH307" s="27"/>
      <c r="AI307" s="27"/>
      <c r="AJ307" s="28"/>
      <c r="AK307" s="20"/>
      <c r="AL307" s="20"/>
      <c r="AM307" s="20"/>
      <c r="AN307" s="20"/>
      <c r="AO307" s="20"/>
      <c r="AP307" s="20"/>
      <c r="AQ307" s="27">
        <f>48699+71202+79176</f>
        <v>199077</v>
      </c>
      <c r="AR307" s="27">
        <f>49000+71202+79176</f>
        <v>199378</v>
      </c>
      <c r="AS307" s="27">
        <v>22209</v>
      </c>
      <c r="AT307" s="27">
        <v>0</v>
      </c>
      <c r="AU307" s="27">
        <v>0</v>
      </c>
      <c r="AV307" s="27">
        <v>0</v>
      </c>
      <c r="AW307" s="27">
        <v>642328</v>
      </c>
      <c r="AX307" s="27">
        <f>AS307+AT307+AU307+AV307+AW307</f>
        <v>664537</v>
      </c>
      <c r="AY307" s="27">
        <v>22209</v>
      </c>
      <c r="AZ307" s="27">
        <v>37205</v>
      </c>
      <c r="BA307" s="27">
        <v>1204034</v>
      </c>
      <c r="BB307" s="27">
        <v>0</v>
      </c>
      <c r="BC307" s="27">
        <v>642328</v>
      </c>
      <c r="BD307" s="27">
        <f>SUM(AY307:BC307)</f>
        <v>1905776</v>
      </c>
      <c r="BE307" s="29">
        <f t="shared" si="238"/>
        <v>3.1712061358060657E-2</v>
      </c>
      <c r="BF307" s="29">
        <f t="shared" si="239"/>
        <v>0.19074629170530893</v>
      </c>
      <c r="BG307" s="29">
        <f t="shared" si="240"/>
        <v>0.264256186597422</v>
      </c>
      <c r="BH307" s="20"/>
      <c r="BI307" s="20"/>
      <c r="BJ307" s="5"/>
      <c r="BK307" s="5"/>
      <c r="BL307" s="5"/>
      <c r="BM307" s="5"/>
      <c r="BN307" s="5"/>
      <c r="BO307" s="5"/>
      <c r="BP307" s="5"/>
      <c r="BQ307" s="43"/>
      <c r="BR307" s="43"/>
      <c r="BS307" s="43"/>
      <c r="BT307" s="44"/>
      <c r="BU307" s="43"/>
      <c r="BV307" s="5"/>
      <c r="BW307" s="43"/>
      <c r="BX307" s="43"/>
      <c r="BY307" s="43"/>
      <c r="BZ307" s="44"/>
      <c r="CA307" s="43"/>
      <c r="CB307" s="5"/>
      <c r="CC307" s="45"/>
      <c r="CD307" s="45"/>
      <c r="CE307" s="45"/>
      <c r="CF307" s="46"/>
      <c r="CG307" s="45"/>
      <c r="CH307" s="5"/>
      <c r="CI307" s="44"/>
      <c r="CJ307" s="44"/>
      <c r="CK307" s="44"/>
      <c r="CL307" s="44"/>
      <c r="CM307" s="44"/>
      <c r="CN307" s="47"/>
      <c r="CO307" s="5"/>
      <c r="CP307" s="47"/>
      <c r="CQ307" s="47"/>
      <c r="CR307" s="47"/>
      <c r="CS307" s="47"/>
      <c r="CT307" s="47"/>
      <c r="CU307" s="47"/>
    </row>
    <row r="308" spans="1:99" ht="15" customHeight="1">
      <c r="A308" s="5"/>
      <c r="B308" s="37" t="s">
        <v>471</v>
      </c>
      <c r="C308" s="37" t="s">
        <v>252</v>
      </c>
      <c r="D308" s="37" t="s">
        <v>253</v>
      </c>
      <c r="E308" s="50" t="s">
        <v>263</v>
      </c>
      <c r="F308" s="26"/>
      <c r="G308" s="4">
        <v>3087944</v>
      </c>
      <c r="H308" s="4">
        <v>1099006</v>
      </c>
      <c r="I308" s="4">
        <v>3087944</v>
      </c>
      <c r="J308" s="4">
        <v>3087944</v>
      </c>
      <c r="K308" s="4">
        <v>1988938</v>
      </c>
      <c r="L308" s="4">
        <v>0</v>
      </c>
      <c r="M308" s="4">
        <v>0</v>
      </c>
      <c r="N308" s="4">
        <f>903614+45124</f>
        <v>948738</v>
      </c>
      <c r="O308" s="4">
        <f>4811689+78479</f>
        <v>4890168</v>
      </c>
      <c r="P308" s="4">
        <f t="shared" si="244"/>
        <v>5838906</v>
      </c>
      <c r="Q308" s="4">
        <v>5395836</v>
      </c>
      <c r="R308" s="4">
        <v>443070</v>
      </c>
      <c r="S308" s="27"/>
      <c r="T308" s="27"/>
      <c r="U308" s="27"/>
      <c r="V308" s="27"/>
      <c r="W308" s="27"/>
      <c r="X308" s="27"/>
      <c r="Y308" s="27"/>
      <c r="Z308" s="27"/>
      <c r="AA308" s="27"/>
      <c r="AB308" s="27"/>
      <c r="AC308" s="27"/>
      <c r="AD308" s="27"/>
      <c r="AE308" s="27"/>
      <c r="AF308" s="27"/>
      <c r="AG308" s="27"/>
      <c r="AH308" s="27"/>
      <c r="AI308" s="27"/>
      <c r="AJ308" s="28"/>
      <c r="AK308" s="20"/>
      <c r="AL308" s="20"/>
      <c r="AM308" s="20"/>
      <c r="AN308" s="20"/>
      <c r="AO308" s="20"/>
      <c r="AP308" s="20"/>
      <c r="AQ308" s="27"/>
      <c r="AR308" s="27"/>
      <c r="AS308" s="27"/>
      <c r="AT308" s="27"/>
      <c r="AU308" s="27"/>
      <c r="AV308" s="27"/>
      <c r="AW308" s="27"/>
      <c r="AX308" s="27"/>
      <c r="AY308" s="27"/>
      <c r="AZ308" s="27"/>
      <c r="BA308" s="27"/>
      <c r="BB308" s="27"/>
      <c r="BC308" s="27"/>
      <c r="BD308" s="27"/>
      <c r="BE308" s="29">
        <f t="shared" si="238"/>
        <v>0</v>
      </c>
      <c r="BF308" s="20" t="e">
        <f t="shared" si="239"/>
        <v>#DIV/0!</v>
      </c>
      <c r="BG308" s="29">
        <f t="shared" si="240"/>
        <v>0</v>
      </c>
      <c r="BH308" s="20"/>
      <c r="BI308" s="20"/>
      <c r="BJ308" s="5"/>
      <c r="BK308" s="5"/>
      <c r="BL308" s="5"/>
      <c r="BM308" s="5"/>
      <c r="BN308" s="5"/>
      <c r="BO308" s="5"/>
      <c r="BP308" s="5"/>
      <c r="BQ308" s="43"/>
      <c r="BR308" s="43"/>
      <c r="BS308" s="43"/>
      <c r="BT308" s="44"/>
      <c r="BU308" s="43"/>
      <c r="BV308" s="5"/>
      <c r="BW308" s="43"/>
      <c r="BX308" s="43"/>
      <c r="BY308" s="43"/>
      <c r="BZ308" s="44"/>
      <c r="CA308" s="43"/>
      <c r="CB308" s="5"/>
      <c r="CC308" s="45"/>
      <c r="CD308" s="45"/>
      <c r="CE308" s="45"/>
      <c r="CF308" s="46"/>
      <c r="CG308" s="45"/>
      <c r="CH308" s="5"/>
      <c r="CI308" s="44"/>
      <c r="CJ308" s="44"/>
      <c r="CK308" s="44"/>
      <c r="CL308" s="44"/>
      <c r="CM308" s="44"/>
      <c r="CN308" s="47"/>
      <c r="CO308" s="5"/>
      <c r="CP308" s="47"/>
      <c r="CQ308" s="47"/>
      <c r="CR308" s="47"/>
      <c r="CS308" s="47"/>
      <c r="CT308" s="47"/>
      <c r="CU308" s="47"/>
    </row>
    <row r="309" spans="1:99" ht="15" customHeight="1">
      <c r="A309" s="5"/>
      <c r="B309" s="37" t="s">
        <v>472</v>
      </c>
      <c r="C309" s="37" t="s">
        <v>252</v>
      </c>
      <c r="D309" s="37" t="s">
        <v>253</v>
      </c>
      <c r="E309" s="50" t="s">
        <v>263</v>
      </c>
      <c r="F309" s="26"/>
      <c r="G309" s="4">
        <f>484411064-123610827-277004878</f>
        <v>83795359</v>
      </c>
      <c r="H309" s="4">
        <f>50116917-5276196-244448</f>
        <v>44596273</v>
      </c>
      <c r="I309" s="4">
        <v>484411064</v>
      </c>
      <c r="J309" s="4">
        <v>434294147</v>
      </c>
      <c r="K309" s="4">
        <v>33675024</v>
      </c>
      <c r="L309" s="4">
        <v>206129</v>
      </c>
      <c r="M309" s="4">
        <v>68885472</v>
      </c>
      <c r="N309" s="4">
        <v>106481602</v>
      </c>
      <c r="O309" s="4">
        <v>155648650</v>
      </c>
      <c r="P309" s="4">
        <f t="shared" si="244"/>
        <v>331221853</v>
      </c>
      <c r="Q309" s="4">
        <v>298168614</v>
      </c>
      <c r="R309" s="4">
        <v>33053239</v>
      </c>
      <c r="S309" s="27">
        <v>243088569</v>
      </c>
      <c r="T309" s="27">
        <v>241819398</v>
      </c>
      <c r="U309" s="27">
        <v>326091425</v>
      </c>
      <c r="V309" s="27">
        <v>323365043</v>
      </c>
      <c r="W309" s="27">
        <v>2899059</v>
      </c>
      <c r="X309" s="27">
        <v>244448</v>
      </c>
      <c r="Y309" s="27">
        <v>0</v>
      </c>
      <c r="Z309" s="27">
        <v>4172900</v>
      </c>
      <c r="AA309" s="27">
        <f>5520644-4172900-244448</f>
        <v>1103296</v>
      </c>
      <c r="AB309" s="27">
        <f>SUM(X309:AA309)</f>
        <v>5520644</v>
      </c>
      <c r="AC309" s="27">
        <v>4172900</v>
      </c>
      <c r="AD309" s="27">
        <v>0</v>
      </c>
      <c r="AE309" s="27">
        <f>AC309+AD309</f>
        <v>4172900</v>
      </c>
      <c r="AF309" s="27">
        <v>0</v>
      </c>
      <c r="AG309" s="27">
        <v>949900</v>
      </c>
      <c r="AH309" s="27">
        <v>893600</v>
      </c>
      <c r="AI309" s="27">
        <v>330000</v>
      </c>
      <c r="AJ309" s="28">
        <v>41640</v>
      </c>
      <c r="AK309" s="27">
        <v>0</v>
      </c>
      <c r="AL309" s="27">
        <v>7230000</v>
      </c>
      <c r="AM309" s="27">
        <f>AL309-AK309</f>
        <v>7230000</v>
      </c>
      <c r="AN309" s="29">
        <f>AK309/AL309</f>
        <v>0</v>
      </c>
      <c r="AO309" s="29">
        <v>0.04</v>
      </c>
      <c r="AP309" s="20"/>
      <c r="AQ309" s="27">
        <v>949900</v>
      </c>
      <c r="AR309" s="27">
        <v>330000</v>
      </c>
      <c r="AS309" s="27">
        <v>193372</v>
      </c>
      <c r="AT309" s="27">
        <v>0</v>
      </c>
      <c r="AU309" s="27">
        <v>0</v>
      </c>
      <c r="AV309" s="27">
        <v>5606277</v>
      </c>
      <c r="AW309" s="27">
        <v>17740482</v>
      </c>
      <c r="AX309" s="27">
        <f>AS309+AT309+AU309+AV309+AW309</f>
        <v>23540131</v>
      </c>
      <c r="AY309" s="27">
        <v>268454</v>
      </c>
      <c r="AZ309" s="27">
        <v>3133994</v>
      </c>
      <c r="BA309" s="27">
        <v>1938639</v>
      </c>
      <c r="BB309" s="27">
        <v>5688580</v>
      </c>
      <c r="BC309" s="27">
        <v>12462897</v>
      </c>
      <c r="BD309" s="27">
        <f>AY309+AZ309+BA309+BB309+BC309</f>
        <v>23492564</v>
      </c>
      <c r="BE309" s="29">
        <f t="shared" ref="BE309:BE325" si="246">AQ309/P309</f>
        <v>2.8678663300636749E-3</v>
      </c>
      <c r="BF309" s="29">
        <f t="shared" ref="BF309:BF325" si="247">AX309/T309</f>
        <v>9.7345916806889088E-2</v>
      </c>
      <c r="BG309" s="29">
        <f t="shared" ref="BG309:BG325" si="248">(AB309-Y309)/P309</f>
        <v>1.6667511367373457E-2</v>
      </c>
      <c r="BH309" s="20"/>
      <c r="BI309" s="20"/>
      <c r="BJ309" s="5"/>
      <c r="BK309" s="5"/>
      <c r="BL309" s="5"/>
      <c r="BM309" s="5"/>
      <c r="BN309" s="5"/>
      <c r="BO309" s="5"/>
      <c r="BP309" s="5"/>
      <c r="BQ309" s="43"/>
      <c r="BR309" s="43"/>
      <c r="BS309" s="43"/>
      <c r="BT309" s="44"/>
      <c r="BU309" s="43"/>
      <c r="BV309" s="5"/>
      <c r="BW309" s="43"/>
      <c r="BX309" s="43"/>
      <c r="BY309" s="43"/>
      <c r="BZ309" s="44"/>
      <c r="CA309" s="43"/>
      <c r="CB309" s="5"/>
      <c r="CC309" s="45"/>
      <c r="CD309" s="45"/>
      <c r="CE309" s="45"/>
      <c r="CF309" s="46"/>
      <c r="CG309" s="45"/>
      <c r="CH309" s="5"/>
      <c r="CI309" s="44"/>
      <c r="CJ309" s="44"/>
      <c r="CK309" s="44"/>
      <c r="CL309" s="44"/>
      <c r="CM309" s="44"/>
      <c r="CN309" s="47"/>
      <c r="CO309" s="5"/>
      <c r="CP309" s="47"/>
      <c r="CQ309" s="47"/>
      <c r="CR309" s="47"/>
      <c r="CS309" s="47"/>
      <c r="CT309" s="47"/>
      <c r="CU309" s="47"/>
    </row>
    <row r="310" spans="1:99" ht="15" customHeight="1">
      <c r="A310" s="5"/>
      <c r="B310" s="37" t="s">
        <v>473</v>
      </c>
      <c r="C310" s="37" t="s">
        <v>252</v>
      </c>
      <c r="D310" s="37" t="s">
        <v>253</v>
      </c>
      <c r="E310" s="50" t="s">
        <v>474</v>
      </c>
      <c r="F310" s="26"/>
      <c r="G310" s="4">
        <v>2065592</v>
      </c>
      <c r="H310" s="4">
        <v>1586980</v>
      </c>
      <c r="I310" s="4">
        <v>7465300</v>
      </c>
      <c r="J310" s="4">
        <v>-4730310</v>
      </c>
      <c r="K310" s="4">
        <v>-5641310</v>
      </c>
      <c r="L310" s="4">
        <v>0</v>
      </c>
      <c r="M310" s="4">
        <v>0</v>
      </c>
      <c r="N310" s="4">
        <v>14857478</v>
      </c>
      <c r="O310" s="4">
        <v>0</v>
      </c>
      <c r="P310" s="4">
        <f t="shared" si="244"/>
        <v>14857478</v>
      </c>
      <c r="Q310" s="4">
        <f>15398854+388280</f>
        <v>15787134</v>
      </c>
      <c r="R310" s="4">
        <v>-929656</v>
      </c>
      <c r="S310" s="27"/>
      <c r="T310" s="27"/>
      <c r="U310" s="27"/>
      <c r="V310" s="27"/>
      <c r="W310" s="27"/>
      <c r="X310" s="27"/>
      <c r="Y310" s="27"/>
      <c r="Z310" s="27"/>
      <c r="AA310" s="27"/>
      <c r="AB310" s="27"/>
      <c r="AC310" s="27"/>
      <c r="AD310" s="27"/>
      <c r="AE310" s="27"/>
      <c r="AF310" s="27"/>
      <c r="AG310" s="27"/>
      <c r="AH310" s="27"/>
      <c r="AI310" s="27"/>
      <c r="AJ310" s="28"/>
      <c r="AK310" s="20"/>
      <c r="AL310" s="20"/>
      <c r="AM310" s="20"/>
      <c r="AN310" s="20"/>
      <c r="AO310" s="20"/>
      <c r="AP310" s="20"/>
      <c r="AQ310" s="27"/>
      <c r="AR310" s="27"/>
      <c r="AS310" s="27"/>
      <c r="AT310" s="27"/>
      <c r="AU310" s="27"/>
      <c r="AV310" s="27"/>
      <c r="AW310" s="27"/>
      <c r="AX310" s="27"/>
      <c r="AY310" s="27"/>
      <c r="AZ310" s="27"/>
      <c r="BA310" s="27"/>
      <c r="BB310" s="27"/>
      <c r="BC310" s="27"/>
      <c r="BD310" s="27"/>
      <c r="BE310" s="29">
        <f t="shared" si="246"/>
        <v>0</v>
      </c>
      <c r="BF310" s="20" t="e">
        <f t="shared" si="247"/>
        <v>#DIV/0!</v>
      </c>
      <c r="BG310" s="29">
        <f t="shared" si="248"/>
        <v>0</v>
      </c>
      <c r="BH310" s="20"/>
      <c r="BI310" s="20"/>
      <c r="BJ310" s="5"/>
      <c r="BK310" s="5"/>
      <c r="BL310" s="5"/>
      <c r="BM310" s="5"/>
      <c r="BN310" s="5"/>
      <c r="BO310" s="5"/>
      <c r="BP310" s="5"/>
      <c r="BQ310" s="43"/>
      <c r="BR310" s="43"/>
      <c r="BS310" s="43"/>
      <c r="BT310" s="44"/>
      <c r="BU310" s="43"/>
      <c r="BV310" s="5"/>
      <c r="BW310" s="43"/>
      <c r="BX310" s="43"/>
      <c r="BY310" s="43"/>
      <c r="BZ310" s="44"/>
      <c r="CA310" s="43"/>
      <c r="CB310" s="5"/>
      <c r="CC310" s="45"/>
      <c r="CD310" s="45"/>
      <c r="CE310" s="45"/>
      <c r="CF310" s="46"/>
      <c r="CG310" s="45"/>
      <c r="CH310" s="5"/>
      <c r="CI310" s="44"/>
      <c r="CJ310" s="44"/>
      <c r="CK310" s="44"/>
      <c r="CL310" s="44"/>
      <c r="CM310" s="44"/>
      <c r="CN310" s="47"/>
      <c r="CO310" s="5"/>
      <c r="CP310" s="47"/>
      <c r="CQ310" s="47"/>
      <c r="CR310" s="47"/>
      <c r="CS310" s="47"/>
      <c r="CT310" s="47"/>
      <c r="CU310" s="47"/>
    </row>
    <row r="311" spans="1:99" ht="15" customHeight="1">
      <c r="A311" s="5"/>
      <c r="B311" s="37" t="s">
        <v>475</v>
      </c>
      <c r="C311" s="37" t="s">
        <v>252</v>
      </c>
      <c r="D311" s="37" t="s">
        <v>253</v>
      </c>
      <c r="E311" s="50" t="s">
        <v>263</v>
      </c>
      <c r="F311" s="26"/>
      <c r="G311" s="4">
        <f>111156322-79884204</f>
        <v>31272118</v>
      </c>
      <c r="H311" s="4">
        <f>11778740-7716722</f>
        <v>4062018</v>
      </c>
      <c r="I311" s="4">
        <v>111156322</v>
      </c>
      <c r="J311" s="4">
        <v>100375316</v>
      </c>
      <c r="K311" s="4">
        <v>21116716</v>
      </c>
      <c r="L311" s="4">
        <v>31430</v>
      </c>
      <c r="M311" s="4">
        <v>11010089</v>
      </c>
      <c r="N311" s="4">
        <v>63681368</v>
      </c>
      <c r="O311" s="4">
        <v>26173815</v>
      </c>
      <c r="P311" s="4">
        <f t="shared" si="244"/>
        <v>100896702</v>
      </c>
      <c r="Q311" s="4">
        <v>90304919</v>
      </c>
      <c r="R311" s="4">
        <f>P311-Q311</f>
        <v>10591783</v>
      </c>
      <c r="S311" s="27">
        <v>70294517</v>
      </c>
      <c r="T311" s="27">
        <v>69271641</v>
      </c>
      <c r="U311" s="27">
        <v>100896702</v>
      </c>
      <c r="V311" s="27">
        <v>109274587</v>
      </c>
      <c r="W311" s="27">
        <v>-18775961</v>
      </c>
      <c r="X311" s="27">
        <v>340030</v>
      </c>
      <c r="Y311" s="27">
        <v>0</v>
      </c>
      <c r="Z311" s="27">
        <v>7300002</v>
      </c>
      <c r="AA311" s="27">
        <f>8056752-7300002-0-340030</f>
        <v>416720</v>
      </c>
      <c r="AB311" s="27">
        <f>SUM(X311:AA311)</f>
        <v>8056752</v>
      </c>
      <c r="AC311" s="27">
        <v>7300002</v>
      </c>
      <c r="AD311" s="27">
        <v>0</v>
      </c>
      <c r="AE311" s="27">
        <f>AC311+AD311</f>
        <v>7300002</v>
      </c>
      <c r="AF311" s="27">
        <v>0</v>
      </c>
      <c r="AG311" s="27"/>
      <c r="AH311" s="27"/>
      <c r="AI311" s="27"/>
      <c r="AJ311" s="2" t="s">
        <v>263</v>
      </c>
      <c r="AK311" s="42">
        <v>0</v>
      </c>
      <c r="AL311" s="27">
        <v>7300002</v>
      </c>
      <c r="AM311" s="27">
        <v>7300002</v>
      </c>
      <c r="AN311" s="29">
        <f>AK311/AL311</f>
        <v>0</v>
      </c>
      <c r="AO311" s="29">
        <v>2.8500000000000001E-2</v>
      </c>
      <c r="AP311" s="29">
        <v>2.5000000000000001E-2</v>
      </c>
      <c r="AQ311" s="27">
        <v>0</v>
      </c>
      <c r="AR311" s="27">
        <v>0</v>
      </c>
      <c r="AS311" s="27">
        <v>0</v>
      </c>
      <c r="AT311" s="27">
        <v>0</v>
      </c>
      <c r="AU311" s="27">
        <v>0</v>
      </c>
      <c r="AV311" s="27">
        <v>5230964</v>
      </c>
      <c r="AW311" s="27">
        <v>10807427</v>
      </c>
      <c r="AX311" s="27">
        <f>AS311+AT311+AU311+AV311+AW311</f>
        <v>16038391</v>
      </c>
      <c r="AY311" s="27">
        <v>0</v>
      </c>
      <c r="AZ311" s="27">
        <v>13210</v>
      </c>
      <c r="BA311" s="27">
        <v>11498529</v>
      </c>
      <c r="BB311" s="27">
        <v>5230964</v>
      </c>
      <c r="BC311" s="27">
        <v>10807427</v>
      </c>
      <c r="BD311" s="27">
        <f>AY311+AZ311+BA311+BB311+BC311</f>
        <v>27550130</v>
      </c>
      <c r="BE311" s="29">
        <f t="shared" si="246"/>
        <v>0</v>
      </c>
      <c r="BF311" s="29">
        <f t="shared" si="247"/>
        <v>0.23152896002564743</v>
      </c>
      <c r="BG311" s="29">
        <f t="shared" si="248"/>
        <v>7.9851490091321323E-2</v>
      </c>
      <c r="BH311" s="20"/>
      <c r="BI311" s="20"/>
      <c r="BJ311" s="5"/>
      <c r="BK311" s="5"/>
      <c r="BL311" s="5"/>
      <c r="BM311" s="5"/>
      <c r="BN311" s="5"/>
      <c r="BO311" s="5"/>
      <c r="BP311" s="5"/>
      <c r="BQ311" s="43"/>
      <c r="BR311" s="43"/>
      <c r="BS311" s="43"/>
      <c r="BT311" s="44"/>
      <c r="BU311" s="43"/>
      <c r="BV311" s="5"/>
      <c r="BW311" s="43"/>
      <c r="BX311" s="43"/>
      <c r="BY311" s="43"/>
      <c r="BZ311" s="44"/>
      <c r="CA311" s="43"/>
      <c r="CB311" s="5"/>
      <c r="CC311" s="45"/>
      <c r="CD311" s="45"/>
      <c r="CE311" s="45"/>
      <c r="CF311" s="46"/>
      <c r="CG311" s="45"/>
      <c r="CH311" s="5"/>
      <c r="CI311" s="44"/>
      <c r="CJ311" s="44"/>
      <c r="CK311" s="44"/>
      <c r="CL311" s="44"/>
      <c r="CM311" s="44"/>
      <c r="CN311" s="47"/>
      <c r="CO311" s="5"/>
      <c r="CP311" s="47"/>
      <c r="CQ311" s="47"/>
      <c r="CR311" s="47"/>
      <c r="CS311" s="47"/>
      <c r="CT311" s="47"/>
      <c r="CU311" s="47"/>
    </row>
    <row r="312" spans="1:99" ht="15" customHeight="1">
      <c r="A312" s="5"/>
      <c r="B312" s="37" t="s">
        <v>476</v>
      </c>
      <c r="C312" s="37" t="s">
        <v>252</v>
      </c>
      <c r="D312" s="37" t="s">
        <v>253</v>
      </c>
      <c r="E312" s="50" t="s">
        <v>263</v>
      </c>
      <c r="F312" s="26"/>
      <c r="G312" s="4">
        <v>10104842</v>
      </c>
      <c r="H312" s="4">
        <v>8129900</v>
      </c>
      <c r="I312" s="4">
        <v>10104842</v>
      </c>
      <c r="J312" s="4">
        <v>1974942</v>
      </c>
      <c r="K312" s="4">
        <v>1974942</v>
      </c>
      <c r="L312" s="4">
        <v>0</v>
      </c>
      <c r="M312" s="4">
        <v>846062</v>
      </c>
      <c r="N312" s="4">
        <v>276567</v>
      </c>
      <c r="O312" s="4">
        <f>7778750+1019766</f>
        <v>8798516</v>
      </c>
      <c r="P312" s="4">
        <f t="shared" si="244"/>
        <v>9921145</v>
      </c>
      <c r="Q312" s="4">
        <v>10126600</v>
      </c>
      <c r="R312" s="4">
        <v>-205455</v>
      </c>
      <c r="S312" s="27"/>
      <c r="T312" s="27"/>
      <c r="U312" s="27"/>
      <c r="V312" s="27"/>
      <c r="W312" s="27"/>
      <c r="X312" s="27"/>
      <c r="Y312" s="27"/>
      <c r="Z312" s="27"/>
      <c r="AA312" s="27"/>
      <c r="AB312" s="27"/>
      <c r="AC312" s="27"/>
      <c r="AD312" s="27"/>
      <c r="AE312" s="27"/>
      <c r="AF312" s="27"/>
      <c r="AG312" s="27"/>
      <c r="AH312" s="27"/>
      <c r="AI312" s="27"/>
      <c r="AJ312" s="28"/>
      <c r="AK312" s="20"/>
      <c r="AL312" s="20"/>
      <c r="AM312" s="20"/>
      <c r="AN312" s="20"/>
      <c r="AO312" s="20"/>
      <c r="AP312" s="20"/>
      <c r="AQ312" s="27"/>
      <c r="AR312" s="27"/>
      <c r="AS312" s="27"/>
      <c r="AT312" s="27"/>
      <c r="AU312" s="27"/>
      <c r="AV312" s="27"/>
      <c r="AW312" s="27"/>
      <c r="AX312" s="27"/>
      <c r="AY312" s="27"/>
      <c r="AZ312" s="27"/>
      <c r="BA312" s="27"/>
      <c r="BB312" s="27"/>
      <c r="BC312" s="27"/>
      <c r="BD312" s="27"/>
      <c r="BE312" s="29">
        <f t="shared" si="246"/>
        <v>0</v>
      </c>
      <c r="BF312" s="20" t="e">
        <f t="shared" si="247"/>
        <v>#DIV/0!</v>
      </c>
      <c r="BG312" s="29">
        <f t="shared" si="248"/>
        <v>0</v>
      </c>
      <c r="BH312" s="20"/>
      <c r="BI312" s="20"/>
      <c r="BJ312" s="5"/>
      <c r="BK312" s="5"/>
      <c r="BL312" s="5"/>
      <c r="BM312" s="5"/>
      <c r="BN312" s="5"/>
      <c r="BO312" s="5"/>
      <c r="BP312" s="5"/>
      <c r="BQ312" s="43"/>
      <c r="BR312" s="43"/>
      <c r="BS312" s="43"/>
      <c r="BT312" s="44"/>
      <c r="BU312" s="43"/>
      <c r="BV312" s="5"/>
      <c r="BW312" s="43"/>
      <c r="BX312" s="43"/>
      <c r="BY312" s="43"/>
      <c r="BZ312" s="44"/>
      <c r="CA312" s="43"/>
      <c r="CB312" s="5"/>
      <c r="CC312" s="45"/>
      <c r="CD312" s="45"/>
      <c r="CE312" s="45"/>
      <c r="CF312" s="46"/>
      <c r="CG312" s="45"/>
      <c r="CH312" s="5"/>
      <c r="CI312" s="44"/>
      <c r="CJ312" s="44"/>
      <c r="CK312" s="44"/>
      <c r="CL312" s="44"/>
      <c r="CM312" s="44"/>
      <c r="CN312" s="47"/>
      <c r="CO312" s="5"/>
      <c r="CP312" s="47"/>
      <c r="CQ312" s="47"/>
      <c r="CR312" s="47"/>
      <c r="CS312" s="47"/>
      <c r="CT312" s="47"/>
      <c r="CU312" s="47"/>
    </row>
    <row r="313" spans="1:99" ht="15" customHeight="1">
      <c r="A313" s="5"/>
      <c r="B313" s="37" t="s">
        <v>477</v>
      </c>
      <c r="C313" s="37" t="s">
        <v>252</v>
      </c>
      <c r="D313" s="37" t="s">
        <v>253</v>
      </c>
      <c r="E313" s="50" t="s">
        <v>263</v>
      </c>
      <c r="F313" s="26"/>
      <c r="G313" s="4">
        <v>11356941</v>
      </c>
      <c r="H313" s="4">
        <v>6525619</v>
      </c>
      <c r="I313" s="4">
        <v>11356941</v>
      </c>
      <c r="J313" s="4">
        <v>4831322</v>
      </c>
      <c r="K313" s="4">
        <v>4816322</v>
      </c>
      <c r="L313" s="4">
        <v>0</v>
      </c>
      <c r="M313" s="4">
        <f>503090+398000</f>
        <v>901090</v>
      </c>
      <c r="N313" s="4">
        <f>626891+187500+529</f>
        <v>814920</v>
      </c>
      <c r="O313" s="4">
        <f>9756310+1522184</f>
        <v>11278494</v>
      </c>
      <c r="P313" s="4">
        <f t="shared" si="244"/>
        <v>12994504</v>
      </c>
      <c r="Q313" s="4">
        <v>14454174</v>
      </c>
      <c r="R313" s="4">
        <v>-1459670</v>
      </c>
      <c r="S313" s="27"/>
      <c r="T313" s="27"/>
      <c r="U313" s="27"/>
      <c r="V313" s="27"/>
      <c r="W313" s="27"/>
      <c r="X313" s="27"/>
      <c r="Y313" s="27"/>
      <c r="Z313" s="27"/>
      <c r="AA313" s="27"/>
      <c r="AB313" s="27"/>
      <c r="AC313" s="27"/>
      <c r="AD313" s="27"/>
      <c r="AE313" s="27"/>
      <c r="AF313" s="27"/>
      <c r="AG313" s="27"/>
      <c r="AH313" s="27"/>
      <c r="AI313" s="27"/>
      <c r="AJ313" s="28"/>
      <c r="AK313" s="20"/>
      <c r="AL313" s="20"/>
      <c r="AM313" s="20"/>
      <c r="AN313" s="20"/>
      <c r="AO313" s="20"/>
      <c r="AP313" s="20"/>
      <c r="AQ313" s="27"/>
      <c r="AR313" s="27"/>
      <c r="AS313" s="27"/>
      <c r="AT313" s="27"/>
      <c r="AU313" s="27"/>
      <c r="AV313" s="27"/>
      <c r="AW313" s="27"/>
      <c r="AX313" s="27"/>
      <c r="AY313" s="27"/>
      <c r="AZ313" s="27"/>
      <c r="BA313" s="27"/>
      <c r="BB313" s="27"/>
      <c r="BC313" s="27"/>
      <c r="BD313" s="27"/>
      <c r="BE313" s="29">
        <f t="shared" si="246"/>
        <v>0</v>
      </c>
      <c r="BF313" s="20" t="e">
        <f t="shared" si="247"/>
        <v>#DIV/0!</v>
      </c>
      <c r="BG313" s="29">
        <f t="shared" si="248"/>
        <v>0</v>
      </c>
      <c r="BH313" s="20"/>
      <c r="BI313" s="20"/>
      <c r="BJ313" s="5"/>
      <c r="BK313" s="5"/>
      <c r="BL313" s="5"/>
      <c r="BM313" s="5"/>
      <c r="BN313" s="5"/>
      <c r="BO313" s="5"/>
      <c r="BP313" s="5"/>
      <c r="BQ313" s="43"/>
      <c r="BR313" s="43"/>
      <c r="BS313" s="43"/>
      <c r="BT313" s="44"/>
      <c r="BU313" s="43"/>
      <c r="BV313" s="5"/>
      <c r="BW313" s="43"/>
      <c r="BX313" s="43"/>
      <c r="BY313" s="43"/>
      <c r="BZ313" s="44"/>
      <c r="CA313" s="43"/>
      <c r="CB313" s="5"/>
      <c r="CC313" s="45"/>
      <c r="CD313" s="45"/>
      <c r="CE313" s="45"/>
      <c r="CF313" s="46"/>
      <c r="CG313" s="45"/>
      <c r="CH313" s="5"/>
      <c r="CI313" s="44"/>
      <c r="CJ313" s="44"/>
      <c r="CK313" s="44"/>
      <c r="CL313" s="44"/>
      <c r="CM313" s="44"/>
      <c r="CN313" s="47"/>
      <c r="CO313" s="5"/>
      <c r="CP313" s="47"/>
      <c r="CQ313" s="47"/>
      <c r="CR313" s="47"/>
      <c r="CS313" s="47"/>
      <c r="CT313" s="47"/>
      <c r="CU313" s="47"/>
    </row>
    <row r="314" spans="1:99" ht="15" customHeight="1">
      <c r="A314" s="5"/>
      <c r="B314" s="37" t="s">
        <v>478</v>
      </c>
      <c r="C314" s="37" t="s">
        <v>252</v>
      </c>
      <c r="D314" s="37" t="s">
        <v>253</v>
      </c>
      <c r="E314" s="50" t="s">
        <v>263</v>
      </c>
      <c r="F314" s="26"/>
      <c r="G314" s="4">
        <v>65237</v>
      </c>
      <c r="H314" s="4">
        <v>57146</v>
      </c>
      <c r="I314" s="4">
        <v>5068079</v>
      </c>
      <c r="J314" s="4">
        <v>4996916</v>
      </c>
      <c r="K314" s="4">
        <v>-249084</v>
      </c>
      <c r="L314" s="4">
        <v>0</v>
      </c>
      <c r="M314" s="4">
        <v>0</v>
      </c>
      <c r="N314" s="4"/>
      <c r="O314" s="4">
        <v>0</v>
      </c>
      <c r="P314" s="4">
        <v>279853</v>
      </c>
      <c r="Q314" s="4">
        <f>209142+139070</f>
        <v>348212</v>
      </c>
      <c r="R314" s="4">
        <v>-68359</v>
      </c>
      <c r="S314" s="27"/>
      <c r="T314" s="27"/>
      <c r="U314" s="27"/>
      <c r="V314" s="27"/>
      <c r="W314" s="27"/>
      <c r="X314" s="27"/>
      <c r="Y314" s="27"/>
      <c r="Z314" s="27"/>
      <c r="AA314" s="27"/>
      <c r="AB314" s="27"/>
      <c r="AC314" s="27"/>
      <c r="AD314" s="27"/>
      <c r="AE314" s="27"/>
      <c r="AF314" s="27"/>
      <c r="AG314" s="27"/>
      <c r="AH314" s="27"/>
      <c r="AI314" s="27"/>
      <c r="AJ314" s="28"/>
      <c r="AK314" s="20"/>
      <c r="AL314" s="20"/>
      <c r="AM314" s="20"/>
      <c r="AN314" s="20"/>
      <c r="AO314" s="20"/>
      <c r="AP314" s="20"/>
      <c r="AQ314" s="27"/>
      <c r="AR314" s="27"/>
      <c r="AS314" s="27"/>
      <c r="AT314" s="27"/>
      <c r="AU314" s="27"/>
      <c r="AV314" s="27"/>
      <c r="AW314" s="27"/>
      <c r="AX314" s="27"/>
      <c r="AY314" s="27"/>
      <c r="AZ314" s="27"/>
      <c r="BA314" s="27"/>
      <c r="BB314" s="27"/>
      <c r="BC314" s="27"/>
      <c r="BD314" s="27"/>
      <c r="BE314" s="29">
        <f t="shared" si="246"/>
        <v>0</v>
      </c>
      <c r="BF314" s="20" t="e">
        <f t="shared" si="247"/>
        <v>#DIV/0!</v>
      </c>
      <c r="BG314" s="29">
        <f t="shared" si="248"/>
        <v>0</v>
      </c>
      <c r="BH314" s="20"/>
      <c r="BI314" s="20"/>
      <c r="BJ314" s="5"/>
      <c r="BK314" s="5"/>
      <c r="BL314" s="5"/>
      <c r="BM314" s="5"/>
      <c r="BN314" s="5"/>
      <c r="BO314" s="5"/>
      <c r="BP314" s="5"/>
      <c r="BQ314" s="43"/>
      <c r="BR314" s="43"/>
      <c r="BS314" s="43"/>
      <c r="BT314" s="44"/>
      <c r="BU314" s="43"/>
      <c r="BV314" s="5"/>
      <c r="BW314" s="43"/>
      <c r="BX314" s="43"/>
      <c r="BY314" s="43"/>
      <c r="BZ314" s="44"/>
      <c r="CA314" s="43"/>
      <c r="CB314" s="5"/>
      <c r="CC314" s="45"/>
      <c r="CD314" s="45"/>
      <c r="CE314" s="45"/>
      <c r="CF314" s="46"/>
      <c r="CG314" s="45"/>
      <c r="CH314" s="5"/>
      <c r="CI314" s="44"/>
      <c r="CJ314" s="44"/>
      <c r="CK314" s="44"/>
      <c r="CL314" s="44"/>
      <c r="CM314" s="44"/>
      <c r="CN314" s="47"/>
      <c r="CO314" s="5"/>
      <c r="CP314" s="47"/>
      <c r="CQ314" s="47"/>
      <c r="CR314" s="47"/>
      <c r="CS314" s="47"/>
      <c r="CT314" s="47"/>
      <c r="CU314" s="47"/>
    </row>
    <row r="315" spans="1:99" ht="15" customHeight="1">
      <c r="A315" s="5"/>
      <c r="B315" s="37" t="s">
        <v>479</v>
      </c>
      <c r="C315" s="37" t="s">
        <v>252</v>
      </c>
      <c r="D315" s="37" t="s">
        <v>253</v>
      </c>
      <c r="E315" s="26">
        <v>42735</v>
      </c>
      <c r="F315" s="26"/>
      <c r="G315" s="4">
        <v>23128</v>
      </c>
      <c r="H315" s="4">
        <f>1417461-1343244</f>
        <v>74217</v>
      </c>
      <c r="I315" s="4">
        <v>1466919</v>
      </c>
      <c r="J315" s="4">
        <v>49458</v>
      </c>
      <c r="K315" s="4">
        <v>49458</v>
      </c>
      <c r="L315" s="4">
        <v>0</v>
      </c>
      <c r="M315" s="4">
        <v>0</v>
      </c>
      <c r="N315" s="4">
        <v>252772</v>
      </c>
      <c r="O315" s="4">
        <v>0</v>
      </c>
      <c r="P315" s="4">
        <f t="shared" ref="P315:P321" si="249">L315+M315+N315+O315</f>
        <v>252772</v>
      </c>
      <c r="Q315" s="4">
        <v>230113</v>
      </c>
      <c r="R315" s="4">
        <v>22659</v>
      </c>
      <c r="S315" s="27"/>
      <c r="T315" s="27"/>
      <c r="U315" s="27"/>
      <c r="V315" s="27"/>
      <c r="W315" s="27"/>
      <c r="X315" s="27"/>
      <c r="Y315" s="27"/>
      <c r="Z315" s="27"/>
      <c r="AA315" s="27">
        <v>1343244</v>
      </c>
      <c r="AB315" s="27"/>
      <c r="AC315" s="27"/>
      <c r="AD315" s="27"/>
      <c r="AE315" s="27"/>
      <c r="AF315" s="27"/>
      <c r="AG315" s="27"/>
      <c r="AH315" s="27"/>
      <c r="AI315" s="27"/>
      <c r="AJ315" s="28"/>
      <c r="AK315" s="20"/>
      <c r="AL315" s="20"/>
      <c r="AM315" s="20"/>
      <c r="AN315" s="20"/>
      <c r="AO315" s="20"/>
      <c r="AP315" s="20"/>
      <c r="AQ315" s="27"/>
      <c r="AR315" s="27"/>
      <c r="AS315" s="27"/>
      <c r="AT315" s="27"/>
      <c r="AU315" s="27"/>
      <c r="AV315" s="27"/>
      <c r="AW315" s="27"/>
      <c r="AX315" s="27"/>
      <c r="AY315" s="27"/>
      <c r="AZ315" s="27"/>
      <c r="BA315" s="27"/>
      <c r="BB315" s="27"/>
      <c r="BC315" s="27"/>
      <c r="BD315" s="27"/>
      <c r="BE315" s="29">
        <f t="shared" si="246"/>
        <v>0</v>
      </c>
      <c r="BF315" s="20" t="e">
        <f t="shared" si="247"/>
        <v>#DIV/0!</v>
      </c>
      <c r="BG315" s="29">
        <f t="shared" si="248"/>
        <v>0</v>
      </c>
      <c r="BH315" s="20"/>
      <c r="BI315" s="20"/>
      <c r="BJ315" s="5"/>
      <c r="BK315" s="5"/>
      <c r="BL315" s="5"/>
      <c r="BM315" s="5"/>
      <c r="BN315" s="5"/>
      <c r="BO315" s="5"/>
      <c r="BP315" s="5"/>
      <c r="BQ315" s="43"/>
      <c r="BR315" s="43"/>
      <c r="BS315" s="43"/>
      <c r="BT315" s="44"/>
      <c r="BU315" s="43"/>
      <c r="BV315" s="5"/>
      <c r="BW315" s="43"/>
      <c r="BX315" s="43"/>
      <c r="BY315" s="43"/>
      <c r="BZ315" s="44"/>
      <c r="CA315" s="43"/>
      <c r="CB315" s="5"/>
      <c r="CC315" s="45"/>
      <c r="CD315" s="45"/>
      <c r="CE315" s="45"/>
      <c r="CF315" s="46"/>
      <c r="CG315" s="45"/>
      <c r="CH315" s="5"/>
      <c r="CI315" s="44"/>
      <c r="CJ315" s="44"/>
      <c r="CK315" s="44"/>
      <c r="CL315" s="44"/>
      <c r="CM315" s="44"/>
      <c r="CN315" s="47"/>
      <c r="CO315" s="5"/>
      <c r="CP315" s="47"/>
      <c r="CQ315" s="47"/>
      <c r="CR315" s="47"/>
      <c r="CS315" s="47"/>
      <c r="CT315" s="47"/>
      <c r="CU315" s="47"/>
    </row>
    <row r="316" spans="1:99" ht="15" customHeight="1">
      <c r="A316" s="5"/>
      <c r="B316" s="37" t="s">
        <v>480</v>
      </c>
      <c r="C316" s="37" t="s">
        <v>252</v>
      </c>
      <c r="D316" s="37" t="s">
        <v>253</v>
      </c>
      <c r="E316" s="50" t="s">
        <v>263</v>
      </c>
      <c r="F316" s="26"/>
      <c r="G316" s="4">
        <v>1113212</v>
      </c>
      <c r="H316" s="4">
        <v>170442</v>
      </c>
      <c r="I316" s="4">
        <v>3419771</v>
      </c>
      <c r="J316" s="4">
        <v>2781870</v>
      </c>
      <c r="K316" s="4">
        <v>942770</v>
      </c>
      <c r="L316" s="4">
        <f>1441113+3888</f>
        <v>1445001</v>
      </c>
      <c r="M316" s="4">
        <v>0</v>
      </c>
      <c r="N316" s="4">
        <v>300</v>
      </c>
      <c r="O316" s="4">
        <v>0</v>
      </c>
      <c r="P316" s="4">
        <f t="shared" si="249"/>
        <v>1445301</v>
      </c>
      <c r="Q316" s="4">
        <v>1546111</v>
      </c>
      <c r="R316" s="4">
        <v>-100810</v>
      </c>
      <c r="S316" s="27">
        <v>1445001</v>
      </c>
      <c r="T316" s="27">
        <v>1546111</v>
      </c>
      <c r="U316" s="27"/>
      <c r="V316" s="27"/>
      <c r="W316" s="27">
        <f>971126-1198334</f>
        <v>-227208</v>
      </c>
      <c r="X316" s="27">
        <v>411635</v>
      </c>
      <c r="Y316" s="27"/>
      <c r="Z316" s="27"/>
      <c r="AA316" s="27"/>
      <c r="AB316" s="27">
        <f>SUM(X316:AA316)</f>
        <v>411635</v>
      </c>
      <c r="AC316" s="27"/>
      <c r="AD316" s="27"/>
      <c r="AE316" s="27"/>
      <c r="AF316" s="27"/>
      <c r="AG316" s="27"/>
      <c r="AH316" s="27"/>
      <c r="AI316" s="27"/>
      <c r="AJ316" s="28"/>
      <c r="AK316" s="20"/>
      <c r="AL316" s="20"/>
      <c r="AM316" s="20"/>
      <c r="AN316" s="20"/>
      <c r="AO316" s="20"/>
      <c r="AP316" s="20"/>
      <c r="AQ316" s="27">
        <v>27760</v>
      </c>
      <c r="AR316" s="27"/>
      <c r="AS316" s="27">
        <v>0</v>
      </c>
      <c r="AT316" s="27">
        <v>0</v>
      </c>
      <c r="AU316" s="27">
        <v>0</v>
      </c>
      <c r="AV316" s="27">
        <v>0</v>
      </c>
      <c r="AW316" s="27">
        <v>971126</v>
      </c>
      <c r="AX316" s="27">
        <f>AS316+AT316+AU316+AV316+AW316</f>
        <v>971126</v>
      </c>
      <c r="AY316" s="27">
        <v>0</v>
      </c>
      <c r="AZ316" s="27">
        <v>0</v>
      </c>
      <c r="BA316" s="27">
        <v>0</v>
      </c>
      <c r="BB316" s="27">
        <v>0</v>
      </c>
      <c r="BC316" s="27">
        <v>0</v>
      </c>
      <c r="BD316" s="27">
        <f>AY316+AZ316+BA316+BB316+BC316</f>
        <v>0</v>
      </c>
      <c r="BE316" s="29">
        <f t="shared" si="246"/>
        <v>1.9207071744916804E-2</v>
      </c>
      <c r="BF316" s="29">
        <f t="shared" si="247"/>
        <v>0.6281088485884907</v>
      </c>
      <c r="BG316" s="29">
        <f t="shared" si="248"/>
        <v>0.28480918507632669</v>
      </c>
      <c r="BH316" s="20"/>
      <c r="BI316" s="20"/>
      <c r="BJ316" s="5"/>
      <c r="BK316" s="5"/>
      <c r="BL316" s="5"/>
      <c r="BM316" s="5"/>
      <c r="BN316" s="5"/>
      <c r="BO316" s="5"/>
      <c r="BP316" s="5"/>
      <c r="BQ316" s="43"/>
      <c r="BR316" s="43"/>
      <c r="BS316" s="43"/>
      <c r="BT316" s="44"/>
      <c r="BU316" s="43"/>
      <c r="BV316" s="5"/>
      <c r="BW316" s="43"/>
      <c r="BX316" s="43"/>
      <c r="BY316" s="43"/>
      <c r="BZ316" s="44"/>
      <c r="CA316" s="43"/>
      <c r="CB316" s="5"/>
      <c r="CC316" s="45"/>
      <c r="CD316" s="45"/>
      <c r="CE316" s="45"/>
      <c r="CF316" s="46"/>
      <c r="CG316" s="45"/>
      <c r="CH316" s="5"/>
      <c r="CI316" s="44"/>
      <c r="CJ316" s="44"/>
      <c r="CK316" s="44"/>
      <c r="CL316" s="44"/>
      <c r="CM316" s="44"/>
      <c r="CN316" s="47"/>
      <c r="CO316" s="5"/>
      <c r="CP316" s="47"/>
      <c r="CQ316" s="47"/>
      <c r="CR316" s="47"/>
      <c r="CS316" s="47"/>
      <c r="CT316" s="47"/>
      <c r="CU316" s="47"/>
    </row>
    <row r="317" spans="1:99" ht="15" customHeight="1">
      <c r="A317" s="5"/>
      <c r="B317" s="37" t="s">
        <v>481</v>
      </c>
      <c r="C317" s="37" t="s">
        <v>252</v>
      </c>
      <c r="D317" s="37" t="s">
        <v>253</v>
      </c>
      <c r="E317" s="50" t="s">
        <v>263</v>
      </c>
      <c r="F317" s="26"/>
      <c r="G317" s="4">
        <v>301800</v>
      </c>
      <c r="H317" s="4">
        <v>17435</v>
      </c>
      <c r="I317" s="4">
        <v>301800</v>
      </c>
      <c r="J317" s="4">
        <v>284365</v>
      </c>
      <c r="K317" s="4">
        <v>278938</v>
      </c>
      <c r="L317" s="4">
        <v>0</v>
      </c>
      <c r="M317" s="4">
        <v>0</v>
      </c>
      <c r="N317" s="4">
        <v>462501</v>
      </c>
      <c r="O317" s="4">
        <v>0</v>
      </c>
      <c r="P317" s="4">
        <f t="shared" si="249"/>
        <v>462501</v>
      </c>
      <c r="Q317" s="4">
        <v>321888</v>
      </c>
      <c r="R317" s="4">
        <f>278938-138325</f>
        <v>140613</v>
      </c>
      <c r="S317" s="27"/>
      <c r="T317" s="27"/>
      <c r="U317" s="27"/>
      <c r="V317" s="27"/>
      <c r="W317" s="27"/>
      <c r="X317" s="27"/>
      <c r="Y317" s="27"/>
      <c r="Z317" s="27"/>
      <c r="AA317" s="27"/>
      <c r="AB317" s="27"/>
      <c r="AC317" s="27"/>
      <c r="AD317" s="27"/>
      <c r="AE317" s="27"/>
      <c r="AF317" s="27"/>
      <c r="AG317" s="27"/>
      <c r="AH317" s="27"/>
      <c r="AI317" s="27"/>
      <c r="AJ317" s="28"/>
      <c r="AK317" s="20"/>
      <c r="AL317" s="20"/>
      <c r="AM317" s="20"/>
      <c r="AN317" s="20"/>
      <c r="AO317" s="20"/>
      <c r="AP317" s="20"/>
      <c r="AQ317" s="27"/>
      <c r="AR317" s="27"/>
      <c r="AS317" s="27"/>
      <c r="AT317" s="27"/>
      <c r="AU317" s="27"/>
      <c r="AV317" s="27"/>
      <c r="AW317" s="27"/>
      <c r="AX317" s="27"/>
      <c r="AY317" s="27"/>
      <c r="AZ317" s="27"/>
      <c r="BA317" s="27"/>
      <c r="BB317" s="27"/>
      <c r="BC317" s="27"/>
      <c r="BD317" s="27"/>
      <c r="BE317" s="29">
        <f t="shared" si="246"/>
        <v>0</v>
      </c>
      <c r="BF317" s="20" t="e">
        <f t="shared" si="247"/>
        <v>#DIV/0!</v>
      </c>
      <c r="BG317" s="29">
        <f t="shared" si="248"/>
        <v>0</v>
      </c>
      <c r="BH317" s="20"/>
      <c r="BI317" s="20"/>
      <c r="BJ317" s="5"/>
      <c r="BK317" s="5"/>
      <c r="BL317" s="5"/>
      <c r="BM317" s="5"/>
      <c r="BN317" s="5"/>
      <c r="BO317" s="5"/>
      <c r="BP317" s="5"/>
      <c r="BQ317" s="43"/>
      <c r="BR317" s="43"/>
      <c r="BS317" s="43"/>
      <c r="BT317" s="44"/>
      <c r="BU317" s="43"/>
      <c r="BV317" s="5"/>
      <c r="BW317" s="43"/>
      <c r="BX317" s="43"/>
      <c r="BY317" s="43"/>
      <c r="BZ317" s="44"/>
      <c r="CA317" s="43"/>
      <c r="CB317" s="5"/>
      <c r="CC317" s="45"/>
      <c r="CD317" s="45"/>
      <c r="CE317" s="45"/>
      <c r="CF317" s="46"/>
      <c r="CG317" s="45"/>
      <c r="CH317" s="5"/>
      <c r="CI317" s="44"/>
      <c r="CJ317" s="44"/>
      <c r="CK317" s="44"/>
      <c r="CL317" s="44"/>
      <c r="CM317" s="44"/>
      <c r="CN317" s="47"/>
      <c r="CO317" s="5"/>
      <c r="CP317" s="47"/>
      <c r="CQ317" s="47"/>
      <c r="CR317" s="47"/>
      <c r="CS317" s="47"/>
      <c r="CT317" s="47"/>
      <c r="CU317" s="47"/>
    </row>
    <row r="318" spans="1:99" ht="15" customHeight="1">
      <c r="A318" s="5"/>
      <c r="B318" s="37" t="s">
        <v>482</v>
      </c>
      <c r="C318" s="37" t="s">
        <v>252</v>
      </c>
      <c r="D318" s="37" t="s">
        <v>253</v>
      </c>
      <c r="E318" s="50" t="s">
        <v>263</v>
      </c>
      <c r="F318" s="26"/>
      <c r="G318" s="4">
        <v>6499290</v>
      </c>
      <c r="H318" s="4">
        <v>1438339</v>
      </c>
      <c r="I318" s="4">
        <v>47542390</v>
      </c>
      <c r="J318" s="4">
        <v>28567483</v>
      </c>
      <c r="K318" s="4">
        <v>-1491125</v>
      </c>
      <c r="L318" s="4">
        <v>8662935</v>
      </c>
      <c r="M318" s="4">
        <v>0</v>
      </c>
      <c r="N318" s="4">
        <v>0</v>
      </c>
      <c r="O318" s="4">
        <v>0</v>
      </c>
      <c r="P318" s="4">
        <f t="shared" si="249"/>
        <v>8662935</v>
      </c>
      <c r="Q318" s="4">
        <f>7665695-743588</f>
        <v>6922107</v>
      </c>
      <c r="R318" s="4">
        <v>1740828</v>
      </c>
      <c r="S318" s="27"/>
      <c r="T318" s="27"/>
      <c r="U318" s="27"/>
      <c r="V318" s="27"/>
      <c r="W318" s="27"/>
      <c r="X318" s="27">
        <v>800224</v>
      </c>
      <c r="Y318" s="27">
        <v>1136968</v>
      </c>
      <c r="Z318" s="27">
        <v>3853111</v>
      </c>
      <c r="AA318" s="27">
        <f>18460159-3853111-1136968-800224</f>
        <v>12669856</v>
      </c>
      <c r="AB318" s="27">
        <f>SUM(X318:AA318)</f>
        <v>18460159</v>
      </c>
      <c r="AC318" s="27">
        <v>3853111</v>
      </c>
      <c r="AD318" s="27">
        <v>0</v>
      </c>
      <c r="AE318" s="27">
        <f>AC318+AD318</f>
        <v>3853111</v>
      </c>
      <c r="AF318" s="27">
        <v>0</v>
      </c>
      <c r="AG318" s="27">
        <v>792461</v>
      </c>
      <c r="AH318" s="27">
        <v>735449</v>
      </c>
      <c r="AI318" s="27">
        <v>180935</v>
      </c>
      <c r="AJ318" s="2" t="s">
        <v>263</v>
      </c>
      <c r="AK318" s="42">
        <v>0</v>
      </c>
      <c r="AL318" s="42">
        <v>9026095</v>
      </c>
      <c r="AM318" s="42">
        <v>9026095</v>
      </c>
      <c r="AN318" s="29">
        <f>AK318/AL318</f>
        <v>0</v>
      </c>
      <c r="AO318" s="20"/>
      <c r="AP318" s="20"/>
      <c r="AQ318" s="27">
        <v>208303</v>
      </c>
      <c r="AR318" s="27">
        <v>208303</v>
      </c>
      <c r="AS318" s="27"/>
      <c r="AT318" s="27"/>
      <c r="AU318" s="27"/>
      <c r="AV318" s="27"/>
      <c r="AW318" s="27"/>
      <c r="AX318" s="27"/>
      <c r="AY318" s="27"/>
      <c r="AZ318" s="27"/>
      <c r="BA318" s="27"/>
      <c r="BB318" s="27"/>
      <c r="BC318" s="27"/>
      <c r="BD318" s="27"/>
      <c r="BE318" s="29">
        <f t="shared" si="246"/>
        <v>2.4045314896163943E-2</v>
      </c>
      <c r="BF318" s="20" t="e">
        <f t="shared" si="247"/>
        <v>#DIV/0!</v>
      </c>
      <c r="BG318" s="29">
        <f t="shared" si="248"/>
        <v>1.9996907514600999</v>
      </c>
      <c r="BH318" s="20"/>
      <c r="BI318" s="20"/>
      <c r="BJ318" s="5"/>
      <c r="BK318" s="5"/>
      <c r="BL318" s="5"/>
      <c r="BM318" s="5"/>
      <c r="BN318" s="5"/>
      <c r="BO318" s="5"/>
      <c r="BP318" s="5"/>
      <c r="BQ318" s="43"/>
      <c r="BR318" s="43"/>
      <c r="BS318" s="43"/>
      <c r="BT318" s="44"/>
      <c r="BU318" s="43"/>
      <c r="BV318" s="5"/>
      <c r="BW318" s="43"/>
      <c r="BX318" s="43"/>
      <c r="BY318" s="43"/>
      <c r="BZ318" s="44"/>
      <c r="CA318" s="43"/>
      <c r="CB318" s="5"/>
      <c r="CC318" s="45"/>
      <c r="CD318" s="45"/>
      <c r="CE318" s="45"/>
      <c r="CF318" s="46"/>
      <c r="CG318" s="45"/>
      <c r="CH318" s="5"/>
      <c r="CI318" s="44"/>
      <c r="CJ318" s="44"/>
      <c r="CK318" s="44"/>
      <c r="CL318" s="44"/>
      <c r="CM318" s="44"/>
      <c r="CN318" s="47"/>
      <c r="CO318" s="5"/>
      <c r="CP318" s="47"/>
      <c r="CQ318" s="47"/>
      <c r="CR318" s="47"/>
      <c r="CS318" s="47"/>
      <c r="CT318" s="47"/>
      <c r="CU318" s="47"/>
    </row>
    <row r="319" spans="1:99" ht="15" customHeight="1">
      <c r="A319" s="5"/>
      <c r="B319" s="37" t="s">
        <v>483</v>
      </c>
      <c r="C319" s="37" t="s">
        <v>252</v>
      </c>
      <c r="D319" s="37" t="s">
        <v>253</v>
      </c>
      <c r="E319" s="50" t="s">
        <v>263</v>
      </c>
      <c r="F319" s="26"/>
      <c r="G319" s="4">
        <f>3733424-3065495</f>
        <v>667929</v>
      </c>
      <c r="H319" s="4">
        <v>127189</v>
      </c>
      <c r="I319" s="4">
        <v>3733424</v>
      </c>
      <c r="J319" s="4">
        <v>3606235</v>
      </c>
      <c r="K319" s="4">
        <f>788224+-22484</f>
        <v>765740</v>
      </c>
      <c r="L319" s="4">
        <f>2057713+8167+215810</f>
        <v>2281690</v>
      </c>
      <c r="M319" s="4">
        <v>0</v>
      </c>
      <c r="N319" s="4">
        <v>0</v>
      </c>
      <c r="O319" s="4">
        <v>0</v>
      </c>
      <c r="P319" s="4">
        <f t="shared" si="249"/>
        <v>2281690</v>
      </c>
      <c r="Q319" s="4">
        <v>2267481</v>
      </c>
      <c r="R319" s="4">
        <f>3606235-3592026</f>
        <v>14209</v>
      </c>
      <c r="S319" s="27">
        <v>1881858</v>
      </c>
      <c r="T319" s="27">
        <v>1971091</v>
      </c>
      <c r="U319" s="27">
        <v>2281690</v>
      </c>
      <c r="V319" s="27">
        <v>2387493</v>
      </c>
      <c r="W319" s="27">
        <v>-89233</v>
      </c>
      <c r="X319" s="27"/>
      <c r="Y319" s="27"/>
      <c r="Z319" s="27"/>
      <c r="AA319" s="27"/>
      <c r="AB319" s="27"/>
      <c r="AC319" s="27"/>
      <c r="AD319" s="27"/>
      <c r="AE319" s="27"/>
      <c r="AF319" s="27"/>
      <c r="AG319" s="27"/>
      <c r="AH319" s="27"/>
      <c r="AI319" s="27"/>
      <c r="AJ319" s="28"/>
      <c r="AK319" s="20"/>
      <c r="AL319" s="20"/>
      <c r="AM319" s="20"/>
      <c r="AN319" s="20"/>
      <c r="AO319" s="20"/>
      <c r="AP319" s="20"/>
      <c r="AQ319" s="27"/>
      <c r="AR319" s="27"/>
      <c r="AS319" s="27">
        <v>0</v>
      </c>
      <c r="AT319" s="27">
        <v>-22484</v>
      </c>
      <c r="AU319" s="27">
        <v>0</v>
      </c>
      <c r="AV319" s="27">
        <v>0</v>
      </c>
      <c r="AW319" s="27">
        <v>0</v>
      </c>
      <c r="AX319" s="27">
        <f>AS319+AT319+AU319+AV319+AW319</f>
        <v>-22484</v>
      </c>
      <c r="AY319" s="27">
        <v>0</v>
      </c>
      <c r="AZ319" s="27">
        <f>788224-22484</f>
        <v>765740</v>
      </c>
      <c r="BA319" s="27">
        <v>0</v>
      </c>
      <c r="BB319" s="27">
        <v>0</v>
      </c>
      <c r="BC319" s="27">
        <v>0</v>
      </c>
      <c r="BD319" s="27">
        <f>AY319+AZ319+BA319+BB319+BC319</f>
        <v>765740</v>
      </c>
      <c r="BE319" s="29">
        <f t="shared" si="246"/>
        <v>0</v>
      </c>
      <c r="BF319" s="29">
        <f t="shared" si="247"/>
        <v>-1.1406880757915287E-2</v>
      </c>
      <c r="BG319" s="29">
        <f t="shared" si="248"/>
        <v>0</v>
      </c>
      <c r="BH319" s="20"/>
      <c r="BI319" s="20"/>
      <c r="BJ319" s="5"/>
      <c r="BK319" s="5"/>
      <c r="BL319" s="5"/>
      <c r="BM319" s="5"/>
      <c r="BN319" s="5"/>
      <c r="BO319" s="5"/>
      <c r="BP319" s="5"/>
      <c r="BQ319" s="43"/>
      <c r="BR319" s="43"/>
      <c r="BS319" s="43"/>
      <c r="BT319" s="44"/>
      <c r="BU319" s="43"/>
      <c r="BV319" s="5"/>
      <c r="BW319" s="43"/>
      <c r="BX319" s="43"/>
      <c r="BY319" s="43"/>
      <c r="BZ319" s="44"/>
      <c r="CA319" s="43"/>
      <c r="CB319" s="5"/>
      <c r="CC319" s="45"/>
      <c r="CD319" s="45"/>
      <c r="CE319" s="45"/>
      <c r="CF319" s="46"/>
      <c r="CG319" s="45"/>
      <c r="CH319" s="5"/>
      <c r="CI319" s="44"/>
      <c r="CJ319" s="44"/>
      <c r="CK319" s="44"/>
      <c r="CL319" s="44"/>
      <c r="CM319" s="44"/>
      <c r="CN319" s="47"/>
      <c r="CO319" s="5"/>
      <c r="CP319" s="47"/>
      <c r="CQ319" s="47"/>
      <c r="CR319" s="47"/>
      <c r="CS319" s="47"/>
      <c r="CT319" s="47"/>
      <c r="CU319" s="47"/>
    </row>
    <row r="320" spans="1:99" ht="15" customHeight="1">
      <c r="A320" s="5"/>
      <c r="B320" s="37" t="s">
        <v>484</v>
      </c>
      <c r="C320" s="37" t="s">
        <v>252</v>
      </c>
      <c r="D320" s="37" t="s">
        <v>253</v>
      </c>
      <c r="E320" s="50" t="s">
        <v>263</v>
      </c>
      <c r="F320" s="26"/>
      <c r="G320" s="4">
        <v>4638570</v>
      </c>
      <c r="H320" s="4">
        <f>6207210-5591641</f>
        <v>615569</v>
      </c>
      <c r="I320" s="4">
        <v>21977434</v>
      </c>
      <c r="J320" s="4">
        <v>16263807</v>
      </c>
      <c r="K320" s="4">
        <v>4627380</v>
      </c>
      <c r="L320" s="4"/>
      <c r="M320" s="4">
        <f>8281270+528200</f>
        <v>8809470</v>
      </c>
      <c r="N320" s="4">
        <f>2414190+660798</f>
        <v>3074988</v>
      </c>
      <c r="O320" s="4">
        <v>709357</v>
      </c>
      <c r="P320" s="4">
        <f t="shared" si="249"/>
        <v>12593815</v>
      </c>
      <c r="Q320" s="4">
        <f>12885245+1102792</f>
        <v>13988037</v>
      </c>
      <c r="R320" s="4">
        <f>16263807-17658029</f>
        <v>-1394222</v>
      </c>
      <c r="S320" s="27"/>
      <c r="T320" s="27"/>
      <c r="U320" s="27"/>
      <c r="V320" s="27"/>
      <c r="W320" s="27"/>
      <c r="X320" s="27">
        <v>83900</v>
      </c>
      <c r="Y320" s="27">
        <v>0</v>
      </c>
      <c r="Z320" s="27">
        <v>0</v>
      </c>
      <c r="AA320" s="27">
        <v>1373642</v>
      </c>
      <c r="AB320" s="27">
        <f>SUM(X320:AA320)</f>
        <v>1457542</v>
      </c>
      <c r="AC320" s="27">
        <v>134287</v>
      </c>
      <c r="AD320" s="27">
        <v>0</v>
      </c>
      <c r="AE320" s="27">
        <f>AC320+AD320</f>
        <v>134287</v>
      </c>
      <c r="AF320" s="27">
        <v>0</v>
      </c>
      <c r="AG320" s="27">
        <v>20150</v>
      </c>
      <c r="AH320" s="27">
        <v>20309</v>
      </c>
      <c r="AI320" s="27">
        <v>0</v>
      </c>
      <c r="AJ320" s="2" t="s">
        <v>274</v>
      </c>
      <c r="AK320" s="42">
        <v>0</v>
      </c>
      <c r="AL320" s="42">
        <v>192820</v>
      </c>
      <c r="AM320" s="42">
        <v>192820</v>
      </c>
      <c r="AN320" s="29">
        <f>AK320/AL320</f>
        <v>0</v>
      </c>
      <c r="AO320" s="29">
        <v>0.03</v>
      </c>
      <c r="AP320" s="29">
        <v>2.75E-2</v>
      </c>
      <c r="AQ320" s="27">
        <v>176250</v>
      </c>
      <c r="AR320" s="27">
        <v>176250</v>
      </c>
      <c r="AS320" s="27"/>
      <c r="AT320" s="27"/>
      <c r="AU320" s="27"/>
      <c r="AV320" s="27"/>
      <c r="AW320" s="27"/>
      <c r="AX320" s="27"/>
      <c r="AY320" s="27"/>
      <c r="AZ320" s="27"/>
      <c r="BA320" s="27"/>
      <c r="BB320" s="27"/>
      <c r="BC320" s="27"/>
      <c r="BD320" s="27"/>
      <c r="BE320" s="29">
        <f t="shared" si="246"/>
        <v>1.3994964988766311E-2</v>
      </c>
      <c r="BF320" s="20" t="e">
        <f t="shared" si="247"/>
        <v>#DIV/0!</v>
      </c>
      <c r="BG320" s="29">
        <f t="shared" si="248"/>
        <v>0.11573474757251873</v>
      </c>
      <c r="BH320" s="20"/>
      <c r="BI320" s="20"/>
      <c r="BJ320" s="5"/>
      <c r="BK320" s="5"/>
      <c r="BL320" s="5"/>
      <c r="BM320" s="5"/>
      <c r="BN320" s="5"/>
      <c r="BO320" s="5"/>
      <c r="BP320" s="5"/>
      <c r="BQ320" s="43"/>
      <c r="BR320" s="43"/>
      <c r="BS320" s="43"/>
      <c r="BT320" s="44"/>
      <c r="BU320" s="43"/>
      <c r="BV320" s="5"/>
      <c r="BW320" s="43"/>
      <c r="BX320" s="43"/>
      <c r="BY320" s="43"/>
      <c r="BZ320" s="44"/>
      <c r="CA320" s="43"/>
      <c r="CB320" s="5"/>
      <c r="CC320" s="45"/>
      <c r="CD320" s="45"/>
      <c r="CE320" s="45"/>
      <c r="CF320" s="46"/>
      <c r="CG320" s="45"/>
      <c r="CH320" s="5"/>
      <c r="CI320" s="44"/>
      <c r="CJ320" s="44"/>
      <c r="CK320" s="44"/>
      <c r="CL320" s="44"/>
      <c r="CM320" s="44"/>
      <c r="CN320" s="47"/>
      <c r="CO320" s="5"/>
      <c r="CP320" s="47"/>
      <c r="CQ320" s="47"/>
      <c r="CR320" s="47"/>
      <c r="CS320" s="47"/>
      <c r="CT320" s="47"/>
      <c r="CU320" s="47"/>
    </row>
    <row r="321" spans="1:99" ht="15" customHeight="1">
      <c r="A321" s="5"/>
      <c r="B321" s="37" t="s">
        <v>485</v>
      </c>
      <c r="C321" s="37" t="s">
        <v>252</v>
      </c>
      <c r="D321" s="37" t="s">
        <v>253</v>
      </c>
      <c r="E321" s="50" t="s">
        <v>263</v>
      </c>
      <c r="F321" s="26"/>
      <c r="G321" s="4">
        <f>3581006-1241230-3000</f>
        <v>2336776</v>
      </c>
      <c r="H321" s="4">
        <f>88678519-88391918</f>
        <v>286601</v>
      </c>
      <c r="I321" s="4">
        <v>3581006</v>
      </c>
      <c r="J321" s="4">
        <v>-84677576</v>
      </c>
      <c r="K321" s="4">
        <v>-85921806</v>
      </c>
      <c r="L321" s="4">
        <v>8709097</v>
      </c>
      <c r="M321" s="4">
        <v>0</v>
      </c>
      <c r="N321" s="4">
        <v>339754</v>
      </c>
      <c r="O321" s="4">
        <v>0</v>
      </c>
      <c r="P321" s="4">
        <f t="shared" si="249"/>
        <v>9048851</v>
      </c>
      <c r="Q321" s="4">
        <v>21229341</v>
      </c>
      <c r="R321" s="4">
        <v>-12180490</v>
      </c>
      <c r="S321" s="27">
        <v>9240994</v>
      </c>
      <c r="T321" s="27">
        <v>9233960</v>
      </c>
      <c r="U321" s="27">
        <v>0</v>
      </c>
      <c r="V321" s="27">
        <v>0</v>
      </c>
      <c r="W321" s="27">
        <v>7034</v>
      </c>
      <c r="X321" s="27">
        <v>0</v>
      </c>
      <c r="Y321" s="27">
        <v>68489046</v>
      </c>
      <c r="Z321" s="27">
        <v>19121882</v>
      </c>
      <c r="AA321" s="27">
        <f>88391918-19121882-68489046-0</f>
        <v>780990</v>
      </c>
      <c r="AB321" s="27">
        <f>SUM(X321:AA321)</f>
        <v>88391918</v>
      </c>
      <c r="AC321" s="27">
        <v>19121882</v>
      </c>
      <c r="AD321" s="27">
        <v>0</v>
      </c>
      <c r="AE321" s="27">
        <f>AC321+AD321</f>
        <v>19121882</v>
      </c>
      <c r="AF321" s="27">
        <v>0</v>
      </c>
      <c r="AG321" s="27">
        <v>4832582</v>
      </c>
      <c r="AH321" s="27">
        <v>0</v>
      </c>
      <c r="AI321" s="27">
        <v>1251289</v>
      </c>
      <c r="AJ321" s="28"/>
      <c r="AK321" s="20"/>
      <c r="AL321" s="20"/>
      <c r="AM321" s="20"/>
      <c r="AN321" s="20"/>
      <c r="AO321" s="20"/>
      <c r="AP321" s="20"/>
      <c r="AQ321" s="27">
        <f>0+360664</f>
        <v>360664</v>
      </c>
      <c r="AR321" s="27">
        <f>3059889+360664</f>
        <v>3420553</v>
      </c>
      <c r="AS321" s="27">
        <v>0</v>
      </c>
      <c r="AT321" s="27">
        <v>0</v>
      </c>
      <c r="AU321" s="27">
        <f>62099+225049+212336</f>
        <v>499484</v>
      </c>
      <c r="AV321" s="27">
        <v>0</v>
      </c>
      <c r="AW321" s="27">
        <v>1465686</v>
      </c>
      <c r="AX321" s="27">
        <f>AS321+AT321+AU321+AV321+AW321</f>
        <v>1965170</v>
      </c>
      <c r="AY321" s="27">
        <v>0</v>
      </c>
      <c r="AZ321" s="27">
        <v>0</v>
      </c>
      <c r="BA321" s="27">
        <v>0</v>
      </c>
      <c r="BB321" s="27">
        <v>0</v>
      </c>
      <c r="BC321" s="27">
        <v>0</v>
      </c>
      <c r="BD321" s="27">
        <f>AY321+AZ321+BA321+BB321+BC321</f>
        <v>0</v>
      </c>
      <c r="BE321" s="29">
        <f t="shared" si="246"/>
        <v>3.9857436043537461E-2</v>
      </c>
      <c r="BF321" s="29">
        <f t="shared" si="247"/>
        <v>0.2128198519378468</v>
      </c>
      <c r="BG321" s="29">
        <f t="shared" si="248"/>
        <v>2.1994916260639057</v>
      </c>
      <c r="BH321" s="20"/>
      <c r="BI321" s="20"/>
      <c r="BJ321" s="5"/>
      <c r="BK321" s="5"/>
      <c r="BL321" s="5"/>
      <c r="BM321" s="5"/>
      <c r="BN321" s="5"/>
      <c r="BO321" s="5"/>
      <c r="BP321" s="5"/>
      <c r="BQ321" s="43"/>
      <c r="BR321" s="43"/>
      <c r="BS321" s="43"/>
      <c r="BT321" s="44"/>
      <c r="BU321" s="43"/>
      <c r="BV321" s="5"/>
      <c r="BW321" s="43"/>
      <c r="BX321" s="43"/>
      <c r="BY321" s="43"/>
      <c r="BZ321" s="44"/>
      <c r="CA321" s="43"/>
      <c r="CB321" s="5"/>
      <c r="CC321" s="45"/>
      <c r="CD321" s="45"/>
      <c r="CE321" s="45"/>
      <c r="CF321" s="46"/>
      <c r="CG321" s="45"/>
      <c r="CH321" s="5"/>
      <c r="CI321" s="44"/>
      <c r="CJ321" s="44"/>
      <c r="CK321" s="44"/>
      <c r="CL321" s="44"/>
      <c r="CM321" s="44"/>
      <c r="CN321" s="47"/>
      <c r="CO321" s="5"/>
      <c r="CP321" s="47"/>
      <c r="CQ321" s="47"/>
      <c r="CR321" s="47"/>
      <c r="CS321" s="47"/>
      <c r="CT321" s="47"/>
      <c r="CU321" s="47"/>
    </row>
    <row r="322" spans="1:99" ht="15" customHeight="1">
      <c r="A322" s="5"/>
      <c r="B322" s="37" t="s">
        <v>486</v>
      </c>
      <c r="C322" s="37" t="s">
        <v>252</v>
      </c>
      <c r="D322" s="37" t="s">
        <v>253</v>
      </c>
      <c r="E322" s="50" t="s">
        <v>263</v>
      </c>
      <c r="F322" s="26"/>
      <c r="G322" s="4">
        <f>2370389-1234082-308500</f>
        <v>827807</v>
      </c>
      <c r="H322" s="4">
        <v>34131</v>
      </c>
      <c r="I322" s="4">
        <v>2370389</v>
      </c>
      <c r="J322" s="4">
        <v>1518122</v>
      </c>
      <c r="K322" s="4">
        <v>752469</v>
      </c>
      <c r="L322" s="4">
        <v>1380381</v>
      </c>
      <c r="M322" s="4">
        <v>0</v>
      </c>
      <c r="N322" s="4">
        <v>8341</v>
      </c>
      <c r="O322" s="4">
        <v>0</v>
      </c>
      <c r="P322" s="4">
        <f>1380381+8341</f>
        <v>1388722</v>
      </c>
      <c r="Q322" s="4">
        <v>1184024</v>
      </c>
      <c r="R322" s="4">
        <f>1518122-1313424</f>
        <v>204698</v>
      </c>
      <c r="S322" s="27">
        <v>1384678</v>
      </c>
      <c r="T322" s="27">
        <v>1110696</v>
      </c>
      <c r="U322" s="27">
        <v>1385744</v>
      </c>
      <c r="V322" s="27">
        <v>1178113</v>
      </c>
      <c r="W322" s="27">
        <v>94407</v>
      </c>
      <c r="X322" s="27">
        <v>47731</v>
      </c>
      <c r="Y322" s="27">
        <v>0</v>
      </c>
      <c r="Z322" s="27">
        <v>0</v>
      </c>
      <c r="AA322" s="27">
        <f>776928-47731</f>
        <v>729197</v>
      </c>
      <c r="AB322" s="27">
        <f>SUM(X322:AA322)</f>
        <v>776928</v>
      </c>
      <c r="AC322" s="27"/>
      <c r="AD322" s="27"/>
      <c r="AE322" s="27"/>
      <c r="AF322" s="27"/>
      <c r="AG322" s="27"/>
      <c r="AH322" s="27"/>
      <c r="AI322" s="27"/>
      <c r="AJ322" s="28"/>
      <c r="AK322" s="20"/>
      <c r="AL322" s="20"/>
      <c r="AM322" s="20"/>
      <c r="AN322" s="20"/>
      <c r="AO322" s="20"/>
      <c r="AP322" s="20"/>
      <c r="AQ322" s="27"/>
      <c r="AR322" s="27"/>
      <c r="AS322" s="27">
        <v>0</v>
      </c>
      <c r="AT322" s="27">
        <v>0</v>
      </c>
      <c r="AU322" s="27">
        <v>0</v>
      </c>
      <c r="AV322" s="27">
        <v>0</v>
      </c>
      <c r="AW322" s="27">
        <v>76665</v>
      </c>
      <c r="AX322" s="27">
        <f>AS322+AT322+AU322+AV322+AW322</f>
        <v>76665</v>
      </c>
      <c r="AY322" s="27">
        <v>0</v>
      </c>
      <c r="AZ322" s="27">
        <v>0</v>
      </c>
      <c r="BA322" s="27">
        <v>641332</v>
      </c>
      <c r="BB322" s="27">
        <v>0</v>
      </c>
      <c r="BC322" s="27">
        <v>76665</v>
      </c>
      <c r="BD322" s="27">
        <f>AY322+AZ322+BA322+BB322+BC322</f>
        <v>717997</v>
      </c>
      <c r="BE322" s="29">
        <f t="shared" si="246"/>
        <v>0</v>
      </c>
      <c r="BF322" s="29">
        <f t="shared" si="247"/>
        <v>6.9024287473800211E-2</v>
      </c>
      <c r="BG322" s="29">
        <f t="shared" si="248"/>
        <v>0.55945538415896057</v>
      </c>
      <c r="BH322" s="20"/>
      <c r="BI322" s="20"/>
      <c r="BJ322" s="5"/>
      <c r="BK322" s="5"/>
      <c r="BL322" s="5"/>
      <c r="BM322" s="5"/>
      <c r="BN322" s="5"/>
      <c r="BO322" s="5"/>
      <c r="BP322" s="5"/>
      <c r="BQ322" s="43"/>
      <c r="BR322" s="43"/>
      <c r="BS322" s="43"/>
      <c r="BT322" s="44"/>
      <c r="BU322" s="43"/>
      <c r="BV322" s="5"/>
      <c r="BW322" s="43"/>
      <c r="BX322" s="43"/>
      <c r="BY322" s="43"/>
      <c r="BZ322" s="44"/>
      <c r="CA322" s="43"/>
      <c r="CB322" s="5"/>
      <c r="CC322" s="45"/>
      <c r="CD322" s="45"/>
      <c r="CE322" s="45"/>
      <c r="CF322" s="46"/>
      <c r="CG322" s="45"/>
      <c r="CH322" s="5"/>
      <c r="CI322" s="44"/>
      <c r="CJ322" s="44"/>
      <c r="CK322" s="44"/>
      <c r="CL322" s="44"/>
      <c r="CM322" s="44"/>
      <c r="CN322" s="47"/>
      <c r="CO322" s="5"/>
      <c r="CP322" s="47"/>
      <c r="CQ322" s="47"/>
      <c r="CR322" s="47"/>
      <c r="CS322" s="47"/>
      <c r="CT322" s="47"/>
      <c r="CU322" s="47"/>
    </row>
    <row r="323" spans="1:99" ht="15" customHeight="1">
      <c r="A323" s="5"/>
      <c r="B323" s="37" t="s">
        <v>487</v>
      </c>
      <c r="C323" s="37" t="s">
        <v>252</v>
      </c>
      <c r="D323" s="37" t="s">
        <v>253</v>
      </c>
      <c r="E323" s="26">
        <v>42551</v>
      </c>
      <c r="F323" s="26"/>
      <c r="G323" s="4">
        <f>I323-22184535-97499</f>
        <v>7782949</v>
      </c>
      <c r="H323" s="4">
        <f t="shared" si="245"/>
        <v>4647831</v>
      </c>
      <c r="I323" s="4">
        <v>30064983</v>
      </c>
      <c r="J323" s="4">
        <v>22644221</v>
      </c>
      <c r="K323" s="4">
        <v>2553111</v>
      </c>
      <c r="L323" s="4">
        <v>329528</v>
      </c>
      <c r="M323" s="4">
        <v>0</v>
      </c>
      <c r="N323" s="4">
        <v>20024109</v>
      </c>
      <c r="O323" s="4">
        <v>20510944</v>
      </c>
      <c r="P323" s="4">
        <f>SUM(L323:O323)</f>
        <v>40864581</v>
      </c>
      <c r="Q323" s="4">
        <v>41743459</v>
      </c>
      <c r="R323" s="4">
        <v>-878878</v>
      </c>
      <c r="S323" s="27">
        <v>23461305</v>
      </c>
      <c r="T323" s="27">
        <v>22390062</v>
      </c>
      <c r="U323" s="27">
        <v>40841381</v>
      </c>
      <c r="V323" s="27">
        <v>40022777</v>
      </c>
      <c r="W323" s="27">
        <v>748832</v>
      </c>
      <c r="X323" s="27">
        <v>650073</v>
      </c>
      <c r="Y323" s="27">
        <v>0</v>
      </c>
      <c r="Z323" s="27">
        <v>437511</v>
      </c>
      <c r="AA323" s="27">
        <f>2772931-X323-Z323</f>
        <v>1685347</v>
      </c>
      <c r="AB323" s="27">
        <f>X323+Y323+Z323+AA323</f>
        <v>2772931</v>
      </c>
      <c r="AC323" s="27">
        <v>437511</v>
      </c>
      <c r="AD323" s="27">
        <v>0</v>
      </c>
      <c r="AE323" s="27">
        <f>AC323+AD323</f>
        <v>437511</v>
      </c>
      <c r="AF323" s="27">
        <v>0</v>
      </c>
      <c r="AG323" s="27">
        <v>54902</v>
      </c>
      <c r="AH323" s="27">
        <v>51166</v>
      </c>
      <c r="AI323" s="27">
        <v>16343</v>
      </c>
      <c r="AJ323" s="28">
        <v>42185</v>
      </c>
      <c r="AK323" s="27">
        <v>0</v>
      </c>
      <c r="AL323" s="27">
        <v>311780</v>
      </c>
      <c r="AM323" s="27">
        <f>AL323-AK323</f>
        <v>311780</v>
      </c>
      <c r="AN323" s="92">
        <f>AK323/AL323</f>
        <v>0</v>
      </c>
      <c r="AO323" s="29">
        <v>4.4999999999999998E-2</v>
      </c>
      <c r="AP323" s="29">
        <v>1.4999999999999999E-2</v>
      </c>
      <c r="AQ323" s="27">
        <v>0</v>
      </c>
      <c r="AR323" s="27">
        <v>0</v>
      </c>
      <c r="AS323" s="27">
        <v>52859</v>
      </c>
      <c r="AT323" s="27">
        <v>0</v>
      </c>
      <c r="AU323" s="27">
        <v>0</v>
      </c>
      <c r="AV323" s="27">
        <v>0</v>
      </c>
      <c r="AW323" s="27">
        <v>4136190</v>
      </c>
      <c r="AX323" s="27">
        <f>AS323+AT323+AU323+AV323+AW323</f>
        <v>4189049</v>
      </c>
      <c r="AY323" s="27">
        <v>72508</v>
      </c>
      <c r="AZ323" s="27">
        <v>59725</v>
      </c>
      <c r="BA323" s="27">
        <v>0</v>
      </c>
      <c r="BB323" s="27">
        <v>0</v>
      </c>
      <c r="BC323" s="27">
        <v>4060695</v>
      </c>
      <c r="BD323" s="27">
        <f>AY323+AZ323+BA323+BB323+BC323</f>
        <v>4192928</v>
      </c>
      <c r="BE323" s="29">
        <f t="shared" si="246"/>
        <v>0</v>
      </c>
      <c r="BF323" s="29">
        <f t="shared" si="247"/>
        <v>0.18709412238340384</v>
      </c>
      <c r="BG323" s="29">
        <f t="shared" si="248"/>
        <v>6.785658710167615E-2</v>
      </c>
      <c r="BH323" s="20"/>
      <c r="BI323" s="20"/>
      <c r="BJ323" s="5"/>
      <c r="BK323" s="5"/>
      <c r="BL323" s="5"/>
      <c r="BM323" s="5"/>
      <c r="BN323" s="5"/>
      <c r="BO323" s="5"/>
      <c r="BP323" s="5"/>
      <c r="BQ323" s="43"/>
      <c r="BR323" s="43"/>
      <c r="BS323" s="43"/>
      <c r="BT323" s="44"/>
      <c r="BU323" s="43"/>
      <c r="BV323" s="5"/>
      <c r="BW323" s="43"/>
      <c r="BX323" s="43"/>
      <c r="BY323" s="43"/>
      <c r="BZ323" s="44"/>
      <c r="CA323" s="43"/>
      <c r="CB323" s="5"/>
      <c r="CC323" s="45"/>
      <c r="CD323" s="45"/>
      <c r="CE323" s="45"/>
      <c r="CF323" s="46"/>
      <c r="CG323" s="45"/>
      <c r="CH323" s="5"/>
      <c r="CI323" s="44"/>
      <c r="CJ323" s="44"/>
      <c r="CK323" s="44"/>
      <c r="CL323" s="44"/>
      <c r="CM323" s="44"/>
      <c r="CN323" s="47"/>
      <c r="CO323" s="5"/>
      <c r="CP323" s="47"/>
      <c r="CQ323" s="47"/>
      <c r="CR323" s="47"/>
      <c r="CS323" s="47"/>
      <c r="CT323" s="47"/>
      <c r="CU323" s="47"/>
    </row>
    <row r="324" spans="1:99" ht="15" customHeight="1">
      <c r="A324" s="5"/>
      <c r="B324" s="37" t="s">
        <v>388</v>
      </c>
      <c r="C324" s="37" t="s">
        <v>252</v>
      </c>
      <c r="D324" s="37" t="s">
        <v>253</v>
      </c>
      <c r="E324" s="26">
        <v>42551</v>
      </c>
      <c r="F324" s="26"/>
      <c r="G324" s="4">
        <v>17816894</v>
      </c>
      <c r="H324" s="4">
        <v>5149387</v>
      </c>
      <c r="I324" s="4">
        <v>62493334</v>
      </c>
      <c r="J324" s="4">
        <v>56138261</v>
      </c>
      <c r="K324" s="4">
        <v>11574303</v>
      </c>
      <c r="L324" s="4">
        <v>17226</v>
      </c>
      <c r="M324" s="4">
        <v>109275</v>
      </c>
      <c r="N324" s="4">
        <v>18644249</v>
      </c>
      <c r="O324" s="4">
        <v>34481230</v>
      </c>
      <c r="P324" s="4">
        <f>L324+M324+N324+O324</f>
        <v>53251980</v>
      </c>
      <c r="Q324" s="4">
        <v>52373157</v>
      </c>
      <c r="R324" s="4">
        <f>P324-Q324</f>
        <v>878823</v>
      </c>
      <c r="S324" s="27">
        <v>21146581</v>
      </c>
      <c r="T324" s="27">
        <v>18519832</v>
      </c>
      <c r="U324" s="27">
        <v>53251980</v>
      </c>
      <c r="V324" s="27">
        <v>50527237</v>
      </c>
      <c r="W324" s="27">
        <v>2607612</v>
      </c>
      <c r="X324" s="27">
        <v>74785</v>
      </c>
      <c r="Y324" s="27">
        <v>0</v>
      </c>
      <c r="Z324" s="27">
        <v>775275</v>
      </c>
      <c r="AA324" s="27">
        <f>1205686-X324-Y324-Z324</f>
        <v>355626</v>
      </c>
      <c r="AB324" s="27">
        <f>X324+Y324+Z324+AA324</f>
        <v>1205686</v>
      </c>
      <c r="AC324" s="27">
        <v>775275</v>
      </c>
      <c r="AD324" s="27">
        <v>0</v>
      </c>
      <c r="AE324" s="27">
        <f>AC324+AD324</f>
        <v>775275</v>
      </c>
      <c r="AF324" s="27">
        <v>0</v>
      </c>
      <c r="AG324" s="27">
        <v>186068</v>
      </c>
      <c r="AH324" s="27">
        <v>181016</v>
      </c>
      <c r="AI324" s="27">
        <v>13806</v>
      </c>
      <c r="AJ324" s="28">
        <v>42186</v>
      </c>
      <c r="AK324" s="27">
        <v>0</v>
      </c>
      <c r="AL324" s="27">
        <v>609519</v>
      </c>
      <c r="AM324" s="27">
        <f>AL324-AK324</f>
        <v>609519</v>
      </c>
      <c r="AN324" s="29">
        <f>AK324/AL324</f>
        <v>0</v>
      </c>
      <c r="AO324" s="30">
        <v>0.04</v>
      </c>
      <c r="AP324" s="20"/>
      <c r="AQ324" s="27">
        <v>186068</v>
      </c>
      <c r="AR324" s="27">
        <v>13806</v>
      </c>
      <c r="AS324" s="27">
        <v>2500</v>
      </c>
      <c r="AT324" s="27">
        <v>0</v>
      </c>
      <c r="AU324" s="27">
        <v>0</v>
      </c>
      <c r="AV324" s="27">
        <v>317929</v>
      </c>
      <c r="AW324" s="27">
        <v>11971457</v>
      </c>
      <c r="AX324" s="27">
        <f>AS324+AT324+AU324+AV324+AW324</f>
        <v>12291886</v>
      </c>
      <c r="AY324" s="27">
        <v>2500</v>
      </c>
      <c r="AZ324" s="27">
        <v>303964</v>
      </c>
      <c r="BA324" s="27">
        <v>71657</v>
      </c>
      <c r="BB324" s="27">
        <v>317929</v>
      </c>
      <c r="BC324" s="27">
        <v>11971457</v>
      </c>
      <c r="BD324" s="27">
        <f>SUM(AY324:BC324)</f>
        <v>12667507</v>
      </c>
      <c r="BE324" s="29">
        <f t="shared" si="246"/>
        <v>3.494104820140021E-3</v>
      </c>
      <c r="BF324" s="29">
        <f t="shared" si="247"/>
        <v>0.66371476803893259</v>
      </c>
      <c r="BG324" s="29">
        <f t="shared" si="248"/>
        <v>2.264114874226273E-2</v>
      </c>
      <c r="BH324" s="20"/>
      <c r="BI324" s="20"/>
      <c r="BJ324" s="5"/>
      <c r="BK324" s="5"/>
      <c r="BL324" s="5"/>
      <c r="BM324" s="5"/>
      <c r="BN324" s="5"/>
      <c r="BO324" s="5"/>
      <c r="BP324" s="5"/>
      <c r="BQ324" s="43"/>
      <c r="BR324" s="43"/>
      <c r="BS324" s="43"/>
      <c r="BT324" s="44"/>
      <c r="BU324" s="43"/>
      <c r="BV324" s="5"/>
      <c r="BW324" s="43"/>
      <c r="BX324" s="43"/>
      <c r="BY324" s="43"/>
      <c r="BZ324" s="44"/>
      <c r="CA324" s="43"/>
      <c r="CB324" s="5"/>
      <c r="CC324" s="45"/>
      <c r="CD324" s="45"/>
      <c r="CE324" s="45"/>
      <c r="CF324" s="46"/>
      <c r="CG324" s="45"/>
      <c r="CH324" s="5"/>
      <c r="CI324" s="44"/>
      <c r="CJ324" s="44"/>
      <c r="CK324" s="44"/>
      <c r="CL324" s="44"/>
      <c r="CM324" s="44"/>
      <c r="CN324" s="47"/>
      <c r="CO324" s="5"/>
      <c r="CP324" s="47"/>
      <c r="CQ324" s="47"/>
      <c r="CR324" s="47"/>
      <c r="CS324" s="47"/>
      <c r="CT324" s="47"/>
      <c r="CU324" s="47"/>
    </row>
    <row r="325" spans="1:99" ht="15" customHeight="1">
      <c r="A325" s="5"/>
      <c r="B325" s="37" t="s">
        <v>488</v>
      </c>
      <c r="C325" s="37" t="s">
        <v>252</v>
      </c>
      <c r="D325" s="37" t="s">
        <v>253</v>
      </c>
      <c r="E325" s="26">
        <v>42551</v>
      </c>
      <c r="F325" s="26"/>
      <c r="G325" s="4">
        <v>410806</v>
      </c>
      <c r="H325" s="4">
        <v>253891</v>
      </c>
      <c r="I325" s="4">
        <v>637261</v>
      </c>
      <c r="J325" s="4">
        <v>184437</v>
      </c>
      <c r="K325" s="4">
        <v>183937</v>
      </c>
      <c r="L325" s="4"/>
      <c r="M325" s="4"/>
      <c r="N325" s="4"/>
      <c r="O325" s="4"/>
      <c r="P325" s="4"/>
      <c r="Q325" s="4"/>
      <c r="R325" s="4"/>
      <c r="S325" s="27"/>
      <c r="T325" s="27"/>
      <c r="U325" s="27"/>
      <c r="V325" s="27"/>
      <c r="W325" s="27"/>
      <c r="X325" s="27"/>
      <c r="Y325" s="27"/>
      <c r="Z325" s="27"/>
      <c r="AA325" s="27"/>
      <c r="AB325" s="27"/>
      <c r="AC325" s="27"/>
      <c r="AD325" s="27"/>
      <c r="AE325" s="27"/>
      <c r="AF325" s="27"/>
      <c r="AG325" s="27"/>
      <c r="AH325" s="27"/>
      <c r="AI325" s="27"/>
      <c r="AJ325" s="28"/>
      <c r="AK325" s="20"/>
      <c r="AL325" s="20"/>
      <c r="AM325" s="20"/>
      <c r="AN325" s="20"/>
      <c r="AO325" s="20"/>
      <c r="AP325" s="20"/>
      <c r="AQ325" s="20"/>
      <c r="AR325" s="20"/>
      <c r="AS325" s="20"/>
      <c r="AT325" s="20"/>
      <c r="AU325" s="20"/>
      <c r="AV325" s="20"/>
      <c r="AW325" s="20"/>
      <c r="AX325" s="20"/>
      <c r="AY325" s="20"/>
      <c r="AZ325" s="27"/>
      <c r="BA325" s="27"/>
      <c r="BB325" s="20"/>
      <c r="BC325" s="20"/>
      <c r="BD325" s="20"/>
      <c r="BE325" s="20" t="e">
        <f t="shared" si="246"/>
        <v>#DIV/0!</v>
      </c>
      <c r="BF325" s="20" t="e">
        <f t="shared" si="247"/>
        <v>#DIV/0!</v>
      </c>
      <c r="BG325" s="20" t="e">
        <f t="shared" si="248"/>
        <v>#DIV/0!</v>
      </c>
      <c r="BH325" s="20"/>
      <c r="BI325" s="20"/>
      <c r="BJ325" s="5"/>
      <c r="BK325" s="5"/>
      <c r="BL325" s="5"/>
      <c r="BM325" s="5"/>
      <c r="BN325" s="5"/>
      <c r="BO325" s="5"/>
      <c r="BP325" s="5"/>
      <c r="BQ325" s="43"/>
      <c r="BR325" s="43"/>
      <c r="BS325" s="43"/>
      <c r="BT325" s="44"/>
      <c r="BU325" s="43"/>
      <c r="BV325" s="5"/>
      <c r="BW325" s="43"/>
      <c r="BX325" s="43"/>
      <c r="BY325" s="43"/>
      <c r="BZ325" s="44"/>
      <c r="CA325" s="43"/>
      <c r="CB325" s="5"/>
      <c r="CC325" s="45"/>
      <c r="CD325" s="45"/>
      <c r="CE325" s="45"/>
      <c r="CF325" s="46"/>
      <c r="CG325" s="45"/>
      <c r="CH325" s="5"/>
      <c r="CI325" s="44"/>
      <c r="CJ325" s="44"/>
      <c r="CK325" s="44"/>
      <c r="CL325" s="44"/>
      <c r="CM325" s="44"/>
      <c r="CN325" s="47"/>
      <c r="CO325" s="5"/>
      <c r="CP325" s="47"/>
      <c r="CQ325" s="47"/>
      <c r="CR325" s="47"/>
      <c r="CS325" s="47"/>
      <c r="CT325" s="47"/>
      <c r="CU325" s="47"/>
    </row>
    <row r="326" spans="1:99" ht="15" customHeight="1">
      <c r="A326" s="5"/>
      <c r="B326" s="5"/>
      <c r="C326" s="5"/>
      <c r="D326" s="5"/>
      <c r="E326" s="20"/>
      <c r="F326" s="20"/>
      <c r="G326" s="5"/>
      <c r="H326" s="5"/>
      <c r="I326" s="5"/>
      <c r="J326" s="5"/>
      <c r="K326" s="5"/>
      <c r="L326" s="5"/>
      <c r="M326" s="5"/>
      <c r="N326" s="5"/>
      <c r="O326" s="5"/>
      <c r="P326" s="5"/>
      <c r="Q326" s="5"/>
      <c r="R326" s="5"/>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c r="BJ326" s="20"/>
      <c r="BK326" s="20"/>
      <c r="BL326" s="20"/>
      <c r="BM326" s="20"/>
      <c r="BN326" s="20"/>
      <c r="BO326" s="20"/>
      <c r="BP326" s="20"/>
      <c r="BQ326" s="30"/>
      <c r="BR326" s="30"/>
      <c r="BS326" s="30"/>
      <c r="BT326" s="31"/>
      <c r="BU326" s="30"/>
      <c r="BV326" s="20"/>
      <c r="BW326" s="30"/>
      <c r="BX326" s="30"/>
      <c r="BY326" s="30"/>
      <c r="BZ326" s="31"/>
      <c r="CA326" s="30"/>
      <c r="CB326" s="20"/>
      <c r="CC326" s="29"/>
      <c r="CD326" s="29"/>
      <c r="CE326" s="29"/>
      <c r="CF326" s="32"/>
      <c r="CG326" s="29"/>
      <c r="CH326" s="20"/>
      <c r="CI326" s="31"/>
      <c r="CJ326" s="31"/>
      <c r="CK326" s="31"/>
      <c r="CL326" s="31"/>
      <c r="CM326" s="31"/>
      <c r="CN326" s="33"/>
      <c r="CO326" s="20"/>
      <c r="CP326" s="33"/>
      <c r="CQ326" s="33"/>
      <c r="CR326" s="33"/>
      <c r="CS326" s="33"/>
      <c r="CT326" s="33"/>
      <c r="CU326" s="33"/>
    </row>
    <row r="327" spans="1:99" ht="15" customHeight="1">
      <c r="A327" s="5"/>
      <c r="B327" s="2" t="s">
        <v>489</v>
      </c>
      <c r="C327" s="5"/>
      <c r="D327" s="5"/>
      <c r="E327" s="20"/>
      <c r="F327" s="20"/>
      <c r="G327" s="5"/>
      <c r="H327" s="5"/>
      <c r="I327" s="5"/>
      <c r="J327" s="5"/>
      <c r="K327" s="5"/>
      <c r="L327" s="5"/>
      <c r="M327" s="5"/>
      <c r="N327" s="5"/>
      <c r="O327" s="5"/>
      <c r="P327" s="5"/>
      <c r="Q327" s="5"/>
      <c r="R327" s="5"/>
      <c r="S327" s="20"/>
      <c r="T327" s="20"/>
      <c r="U327" s="20"/>
      <c r="V327" s="20"/>
      <c r="W327" s="20"/>
      <c r="X327" s="27">
        <f>SUM(X3:X325)</f>
        <v>3658943840</v>
      </c>
      <c r="Y327" s="27">
        <f>SUM(Y3:Y325)</f>
        <v>32619083128</v>
      </c>
      <c r="Z327" s="27">
        <f>SUM(Z3:Z325)</f>
        <v>12402223569</v>
      </c>
      <c r="AA327" s="27">
        <f>SUM(AA3:AA325)</f>
        <v>39874828934</v>
      </c>
      <c r="AB327" s="27">
        <f>SUM(AB3:AB325)</f>
        <v>88915263947</v>
      </c>
      <c r="AC327" s="20"/>
      <c r="AD327" s="20"/>
      <c r="AE327" s="20"/>
      <c r="AF327" s="20"/>
      <c r="AG327" s="20"/>
      <c r="AH327" s="20"/>
      <c r="AI327" s="20"/>
      <c r="AJ327" s="20"/>
      <c r="AK327" s="20"/>
      <c r="AL327" s="27">
        <f>SUM(AL3:AL325)</f>
        <v>30066957988</v>
      </c>
      <c r="AM327" s="27">
        <f>SUM(AM3:AM325)</f>
        <v>28891155615</v>
      </c>
      <c r="AN327" s="20"/>
      <c r="AO327" s="20"/>
      <c r="AP327" s="20"/>
      <c r="AQ327" s="27">
        <f>SUM(AQ3:AQ325)</f>
        <v>2825036232</v>
      </c>
      <c r="AR327" s="27">
        <f>SUM(AR3:AR325)</f>
        <v>2808872703</v>
      </c>
      <c r="AS327" s="20"/>
      <c r="AT327" s="20"/>
      <c r="AU327" s="20"/>
      <c r="AV327" s="20"/>
      <c r="AW327" s="20"/>
      <c r="AX327" s="20"/>
      <c r="AY327" s="20"/>
      <c r="AZ327" s="20"/>
      <c r="BA327" s="20"/>
      <c r="BB327" s="20"/>
      <c r="BC327" s="20"/>
      <c r="BD327" s="20"/>
      <c r="BE327" s="20"/>
      <c r="BF327" s="20"/>
      <c r="BG327" s="20"/>
      <c r="BH327" s="20"/>
      <c r="BI327" s="20"/>
      <c r="BJ327" s="20"/>
      <c r="BK327" s="20"/>
      <c r="BL327" s="20"/>
      <c r="BM327" s="20"/>
      <c r="BN327" s="20"/>
      <c r="BO327" s="20"/>
      <c r="BP327" s="20"/>
      <c r="BQ327" s="30"/>
      <c r="BR327" s="30"/>
      <c r="BS327" s="30"/>
      <c r="BT327" s="31"/>
      <c r="BU327" s="30"/>
      <c r="BV327" s="20"/>
      <c r="BW327" s="30"/>
      <c r="BX327" s="30"/>
      <c r="BY327" s="30"/>
      <c r="BZ327" s="31"/>
      <c r="CA327" s="30"/>
      <c r="CB327" s="20"/>
      <c r="CC327" s="29"/>
      <c r="CD327" s="29"/>
      <c r="CE327" s="29"/>
      <c r="CF327" s="32"/>
      <c r="CG327" s="29"/>
      <c r="CH327" s="20"/>
      <c r="CI327" s="31"/>
      <c r="CJ327" s="31"/>
      <c r="CK327" s="31"/>
      <c r="CL327" s="31"/>
      <c r="CM327" s="31"/>
      <c r="CN327" s="33"/>
      <c r="CO327" s="20"/>
      <c r="CP327" s="33"/>
      <c r="CQ327" s="33"/>
      <c r="CR327" s="33"/>
      <c r="CS327" s="33"/>
      <c r="CT327" s="33"/>
      <c r="CU327" s="33"/>
    </row>
    <row r="328" spans="1:99" ht="15" customHeight="1">
      <c r="A328" s="5"/>
      <c r="B328" s="5"/>
      <c r="C328" s="5"/>
      <c r="D328" s="5"/>
      <c r="E328" s="20"/>
      <c r="F328" s="20"/>
      <c r="G328" s="5"/>
      <c r="H328" s="5"/>
      <c r="I328" s="5"/>
      <c r="J328" s="5"/>
      <c r="K328" s="5"/>
      <c r="L328" s="5"/>
      <c r="M328" s="5"/>
      <c r="N328" s="5"/>
      <c r="O328" s="5"/>
      <c r="P328" s="5"/>
      <c r="Q328" s="5"/>
      <c r="R328" s="5"/>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c r="BM328" s="20"/>
      <c r="BN328" s="20"/>
      <c r="BO328" s="20"/>
      <c r="BP328" s="20"/>
      <c r="BQ328" s="30"/>
      <c r="BR328" s="30"/>
      <c r="BS328" s="30"/>
      <c r="BT328" s="31"/>
      <c r="BU328" s="30"/>
      <c r="BV328" s="20"/>
      <c r="BW328" s="30"/>
      <c r="BX328" s="30"/>
      <c r="BY328" s="30"/>
      <c r="BZ328" s="31"/>
      <c r="CA328" s="30"/>
      <c r="CB328" s="20"/>
      <c r="CC328" s="29"/>
      <c r="CD328" s="29"/>
      <c r="CE328" s="29"/>
      <c r="CF328" s="32"/>
      <c r="CG328" s="29"/>
      <c r="CH328" s="20"/>
      <c r="CI328" s="31"/>
      <c r="CJ328" s="31"/>
      <c r="CK328" s="31"/>
      <c r="CL328" s="31"/>
      <c r="CM328" s="31"/>
      <c r="CN328" s="33"/>
      <c r="CO328" s="20"/>
      <c r="CP328" s="33"/>
      <c r="CQ328" s="33"/>
      <c r="CR328" s="33"/>
      <c r="CS328" s="33"/>
      <c r="CT328" s="33"/>
      <c r="CU328" s="33"/>
    </row>
    <row r="329" spans="1:99" ht="15" customHeight="1">
      <c r="A329" s="5"/>
      <c r="B329" s="5"/>
      <c r="C329" s="5"/>
      <c r="D329" s="5"/>
      <c r="E329" s="20"/>
      <c r="F329" s="20"/>
      <c r="G329" s="5"/>
      <c r="H329" s="5"/>
      <c r="I329" s="5"/>
      <c r="J329" s="5"/>
      <c r="K329" s="5"/>
      <c r="L329" s="5"/>
      <c r="M329" s="5"/>
      <c r="N329" s="5"/>
      <c r="O329" s="5"/>
      <c r="P329" s="5"/>
      <c r="Q329" s="5"/>
      <c r="R329" s="5"/>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c r="BJ329" s="20"/>
      <c r="BK329" s="20"/>
      <c r="BL329" s="20"/>
      <c r="BM329" s="20"/>
      <c r="BN329" s="20"/>
      <c r="BO329" s="20"/>
      <c r="BP329" s="20"/>
      <c r="BQ329" s="30"/>
      <c r="BR329" s="30"/>
      <c r="BS329" s="30"/>
      <c r="BT329" s="31"/>
      <c r="BU329" s="30"/>
      <c r="BV329" s="20"/>
      <c r="BW329" s="30"/>
      <c r="BX329" s="30"/>
      <c r="BY329" s="30"/>
      <c r="BZ329" s="31"/>
      <c r="CA329" s="30"/>
      <c r="CB329" s="20"/>
      <c r="CC329" s="29"/>
      <c r="CD329" s="29"/>
      <c r="CE329" s="29"/>
      <c r="CF329" s="32"/>
      <c r="CG329" s="29"/>
      <c r="CH329" s="20"/>
      <c r="CI329" s="31"/>
      <c r="CJ329" s="31"/>
      <c r="CK329" s="31"/>
      <c r="CL329" s="31"/>
      <c r="CM329" s="31"/>
      <c r="CN329" s="33"/>
      <c r="CO329" s="20"/>
      <c r="CP329" s="33"/>
      <c r="CQ329" s="33"/>
      <c r="CR329" s="33"/>
      <c r="CS329" s="33"/>
      <c r="CT329" s="33"/>
      <c r="CU329" s="33"/>
    </row>
    <row r="330" spans="1:99" ht="15" customHeight="1">
      <c r="A330" s="5"/>
      <c r="B330" s="5"/>
      <c r="C330" s="5"/>
      <c r="D330" s="5"/>
      <c r="E330" s="20"/>
      <c r="F330" s="20"/>
      <c r="G330" s="5"/>
      <c r="H330" s="5"/>
      <c r="I330" s="5"/>
      <c r="J330" s="5"/>
      <c r="K330" s="5"/>
      <c r="L330" s="5"/>
      <c r="M330" s="5"/>
      <c r="N330" s="5"/>
      <c r="O330" s="5"/>
      <c r="P330" s="5"/>
      <c r="Q330" s="5"/>
      <c r="R330" s="5"/>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c r="AX330" s="20"/>
      <c r="AY330" s="20"/>
      <c r="AZ330" s="20"/>
      <c r="BA330" s="20"/>
      <c r="BB330" s="20"/>
      <c r="BC330" s="20"/>
      <c r="BD330" s="20"/>
      <c r="BE330" s="20"/>
      <c r="BF330" s="20"/>
      <c r="BG330" s="20"/>
      <c r="BH330" s="20"/>
      <c r="BI330" s="20"/>
      <c r="BJ330" s="20"/>
      <c r="BK330" s="20"/>
      <c r="BL330" s="20"/>
      <c r="BM330" s="20"/>
      <c r="BN330" s="20"/>
      <c r="BO330" s="20"/>
      <c r="BP330" s="20"/>
      <c r="BQ330" s="30"/>
      <c r="BR330" s="30"/>
      <c r="BS330" s="30"/>
      <c r="BT330" s="31"/>
      <c r="BU330" s="30"/>
      <c r="BV330" s="20"/>
      <c r="BW330" s="30"/>
      <c r="BX330" s="30"/>
      <c r="BY330" s="30"/>
      <c r="BZ330" s="31"/>
      <c r="CA330" s="30"/>
      <c r="CB330" s="20"/>
      <c r="CC330" s="29"/>
      <c r="CD330" s="29"/>
      <c r="CE330" s="29"/>
      <c r="CF330" s="32"/>
      <c r="CG330" s="29"/>
      <c r="CH330" s="20"/>
      <c r="CI330" s="31"/>
      <c r="CJ330" s="31"/>
      <c r="CK330" s="31"/>
      <c r="CL330" s="31"/>
      <c r="CM330" s="31"/>
      <c r="CN330" s="33"/>
      <c r="CO330" s="20"/>
      <c r="CP330" s="33"/>
      <c r="CQ330" s="33"/>
      <c r="CR330" s="33"/>
      <c r="CS330" s="33"/>
      <c r="CT330" s="33"/>
      <c r="CU330" s="33"/>
    </row>
    <row r="331" spans="1:99" ht="15" customHeight="1">
      <c r="A331" s="5"/>
      <c r="B331" s="5"/>
      <c r="C331" s="5"/>
      <c r="D331" s="5"/>
      <c r="E331" s="20"/>
      <c r="F331" s="20"/>
      <c r="G331" s="5"/>
      <c r="H331" s="5"/>
      <c r="I331" s="5"/>
      <c r="J331" s="5"/>
      <c r="K331" s="5"/>
      <c r="L331" s="5"/>
      <c r="M331" s="5"/>
      <c r="N331" s="5"/>
      <c r="O331" s="5"/>
      <c r="P331" s="5"/>
      <c r="Q331" s="5"/>
      <c r="R331" s="5"/>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c r="BE331" s="20"/>
      <c r="BF331" s="20"/>
      <c r="BG331" s="20"/>
      <c r="BH331" s="20"/>
      <c r="BI331" s="20"/>
      <c r="BJ331" s="20"/>
      <c r="BK331" s="20"/>
      <c r="BL331" s="20"/>
      <c r="BM331" s="20"/>
      <c r="BN331" s="20"/>
      <c r="BO331" s="20"/>
      <c r="BP331" s="20"/>
      <c r="BQ331" s="30"/>
      <c r="BR331" s="30"/>
      <c r="BS331" s="30"/>
      <c r="BT331" s="31"/>
      <c r="BU331" s="30"/>
      <c r="BV331" s="20"/>
      <c r="BW331" s="30"/>
      <c r="BX331" s="30"/>
      <c r="BY331" s="30"/>
      <c r="BZ331" s="31"/>
      <c r="CA331" s="30"/>
      <c r="CB331" s="20"/>
      <c r="CC331" s="29"/>
      <c r="CD331" s="29"/>
      <c r="CE331" s="29"/>
      <c r="CF331" s="32"/>
      <c r="CG331" s="29"/>
      <c r="CH331" s="20"/>
      <c r="CI331" s="31"/>
      <c r="CJ331" s="31"/>
      <c r="CK331" s="31"/>
      <c r="CL331" s="31"/>
      <c r="CM331" s="31"/>
      <c r="CN331" s="33"/>
      <c r="CO331" s="20"/>
      <c r="CP331" s="33"/>
      <c r="CQ331" s="33"/>
      <c r="CR331" s="33"/>
      <c r="CS331" s="33"/>
      <c r="CT331" s="33"/>
      <c r="CU331" s="33"/>
    </row>
    <row r="332" spans="1:99" ht="15" customHeight="1">
      <c r="A332" s="5"/>
      <c r="B332" s="5"/>
      <c r="C332" s="5"/>
      <c r="D332" s="5"/>
      <c r="E332" s="20"/>
      <c r="F332" s="20"/>
      <c r="G332" s="5"/>
      <c r="H332" s="5"/>
      <c r="I332" s="5"/>
      <c r="J332" s="5"/>
      <c r="K332" s="5"/>
      <c r="L332" s="5"/>
      <c r="M332" s="5"/>
      <c r="N332" s="5"/>
      <c r="O332" s="5"/>
      <c r="P332" s="5"/>
      <c r="Q332" s="5"/>
      <c r="R332" s="5"/>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c r="BE332" s="20"/>
      <c r="BF332" s="20"/>
      <c r="BG332" s="20"/>
      <c r="BH332" s="20"/>
      <c r="BI332" s="20"/>
      <c r="BJ332" s="20"/>
      <c r="BK332" s="20"/>
      <c r="BL332" s="20"/>
      <c r="BM332" s="20"/>
      <c r="BN332" s="20"/>
      <c r="BO332" s="20"/>
      <c r="BP332" s="20"/>
      <c r="BQ332" s="30"/>
      <c r="BR332" s="30"/>
      <c r="BS332" s="30"/>
      <c r="BT332" s="31"/>
      <c r="BU332" s="30"/>
      <c r="BV332" s="20"/>
      <c r="BW332" s="30"/>
      <c r="BX332" s="30"/>
      <c r="BY332" s="30"/>
      <c r="BZ332" s="31"/>
      <c r="CA332" s="30"/>
      <c r="CB332" s="20"/>
      <c r="CC332" s="29"/>
      <c r="CD332" s="29"/>
      <c r="CE332" s="29"/>
      <c r="CF332" s="32"/>
      <c r="CG332" s="29"/>
      <c r="CH332" s="20"/>
      <c r="CI332" s="31"/>
      <c r="CJ332" s="31"/>
      <c r="CK332" s="31"/>
      <c r="CL332" s="31"/>
      <c r="CM332" s="31"/>
      <c r="CN332" s="33"/>
      <c r="CO332" s="20"/>
      <c r="CP332" s="33"/>
      <c r="CQ332" s="33"/>
      <c r="CR332" s="33"/>
      <c r="CS332" s="33"/>
      <c r="CT332" s="33"/>
      <c r="CU332" s="33"/>
    </row>
    <row r="333" spans="1:99" ht="15" customHeight="1">
      <c r="A333" s="5"/>
      <c r="B333" s="5"/>
      <c r="C333" s="5"/>
      <c r="D333" s="5"/>
      <c r="E333" s="20"/>
      <c r="F333" s="20"/>
      <c r="G333" s="5"/>
      <c r="H333" s="5"/>
      <c r="I333" s="5"/>
      <c r="J333" s="5"/>
      <c r="K333" s="5"/>
      <c r="L333" s="5"/>
      <c r="M333" s="5"/>
      <c r="N333" s="5"/>
      <c r="O333" s="5"/>
      <c r="P333" s="5"/>
      <c r="Q333" s="5"/>
      <c r="R333" s="5"/>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c r="BE333" s="20"/>
      <c r="BF333" s="20"/>
      <c r="BG333" s="20"/>
      <c r="BH333" s="20"/>
      <c r="BI333" s="20"/>
      <c r="BJ333" s="20"/>
      <c r="BK333" s="20"/>
      <c r="BL333" s="20"/>
      <c r="BM333" s="20"/>
      <c r="BN333" s="20"/>
      <c r="BO333" s="20"/>
      <c r="BP333" s="20"/>
      <c r="BQ333" s="30"/>
      <c r="BR333" s="30"/>
      <c r="BS333" s="30"/>
      <c r="BT333" s="31"/>
      <c r="BU333" s="30"/>
      <c r="BV333" s="20"/>
      <c r="BW333" s="30"/>
      <c r="BX333" s="30"/>
      <c r="BY333" s="30"/>
      <c r="BZ333" s="31"/>
      <c r="CA333" s="30"/>
      <c r="CB333" s="20"/>
      <c r="CC333" s="29"/>
      <c r="CD333" s="29"/>
      <c r="CE333" s="29"/>
      <c r="CF333" s="32"/>
      <c r="CG333" s="29"/>
      <c r="CH333" s="20"/>
      <c r="CI333" s="31"/>
      <c r="CJ333" s="31"/>
      <c r="CK333" s="31"/>
      <c r="CL333" s="31"/>
      <c r="CM333" s="31"/>
      <c r="CN333" s="33"/>
      <c r="CO333" s="20"/>
      <c r="CP333" s="33"/>
      <c r="CQ333" s="33"/>
      <c r="CR333" s="33"/>
      <c r="CS333" s="33"/>
      <c r="CT333" s="33"/>
      <c r="CU333" s="33"/>
    </row>
    <row r="334" spans="1:99" ht="15" customHeight="1">
      <c r="A334" s="5"/>
      <c r="B334" s="5"/>
      <c r="C334" s="5"/>
      <c r="D334" s="5"/>
      <c r="E334" s="20"/>
      <c r="F334" s="20"/>
      <c r="G334" s="5"/>
      <c r="H334" s="5"/>
      <c r="I334" s="5"/>
      <c r="J334" s="5"/>
      <c r="K334" s="5"/>
      <c r="L334" s="5"/>
      <c r="M334" s="5"/>
      <c r="N334" s="5"/>
      <c r="O334" s="5"/>
      <c r="P334" s="5"/>
      <c r="Q334" s="5"/>
      <c r="R334" s="5"/>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c r="BC334" s="20"/>
      <c r="BD334" s="20"/>
      <c r="BE334" s="20"/>
      <c r="BF334" s="20"/>
      <c r="BG334" s="20"/>
      <c r="BH334" s="20"/>
      <c r="BI334" s="20"/>
      <c r="BJ334" s="20"/>
      <c r="BK334" s="20"/>
      <c r="BL334" s="20"/>
      <c r="BM334" s="20"/>
      <c r="BN334" s="20"/>
      <c r="BO334" s="20"/>
      <c r="BP334" s="20"/>
      <c r="BQ334" s="30"/>
      <c r="BR334" s="30"/>
      <c r="BS334" s="30"/>
      <c r="BT334" s="31"/>
      <c r="BU334" s="30"/>
      <c r="BV334" s="20"/>
      <c r="BW334" s="30"/>
      <c r="BX334" s="30"/>
      <c r="BY334" s="30"/>
      <c r="BZ334" s="31"/>
      <c r="CA334" s="30"/>
      <c r="CB334" s="20"/>
      <c r="CC334" s="29"/>
      <c r="CD334" s="29"/>
      <c r="CE334" s="29"/>
      <c r="CF334" s="32"/>
      <c r="CG334" s="29"/>
      <c r="CH334" s="20"/>
      <c r="CI334" s="31"/>
      <c r="CJ334" s="31"/>
      <c r="CK334" s="31"/>
      <c r="CL334" s="31"/>
      <c r="CM334" s="31"/>
      <c r="CN334" s="33"/>
      <c r="CO334" s="20"/>
      <c r="CP334" s="33"/>
      <c r="CQ334" s="33"/>
      <c r="CR334" s="33"/>
      <c r="CS334" s="33"/>
      <c r="CT334" s="33"/>
      <c r="CU334" s="33"/>
    </row>
    <row r="335" spans="1:99" ht="15" customHeight="1">
      <c r="A335" s="5"/>
      <c r="B335" s="5"/>
      <c r="C335" s="5"/>
      <c r="D335" s="5"/>
      <c r="E335" s="20"/>
      <c r="F335" s="20"/>
      <c r="G335" s="5"/>
      <c r="H335" s="5"/>
      <c r="I335" s="5"/>
      <c r="J335" s="5"/>
      <c r="K335" s="5"/>
      <c r="L335" s="5"/>
      <c r="M335" s="5"/>
      <c r="N335" s="5"/>
      <c r="O335" s="5"/>
      <c r="P335" s="5"/>
      <c r="Q335" s="5"/>
      <c r="R335" s="5"/>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c r="BE335" s="20"/>
      <c r="BF335" s="20"/>
      <c r="BG335" s="20"/>
      <c r="BH335" s="20"/>
      <c r="BI335" s="20"/>
      <c r="BJ335" s="20"/>
      <c r="BK335" s="20"/>
      <c r="BL335" s="20"/>
      <c r="BM335" s="20"/>
      <c r="BN335" s="20"/>
      <c r="BO335" s="20"/>
      <c r="BP335" s="20"/>
      <c r="BQ335" s="30"/>
      <c r="BR335" s="30"/>
      <c r="BS335" s="30"/>
      <c r="BT335" s="31"/>
      <c r="BU335" s="30"/>
      <c r="BV335" s="20"/>
      <c r="BW335" s="30"/>
      <c r="BX335" s="30"/>
      <c r="BY335" s="30"/>
      <c r="BZ335" s="31"/>
      <c r="CA335" s="30"/>
      <c r="CB335" s="20"/>
      <c r="CC335" s="29"/>
      <c r="CD335" s="29"/>
      <c r="CE335" s="29"/>
      <c r="CF335" s="32"/>
      <c r="CG335" s="29"/>
      <c r="CH335" s="20"/>
      <c r="CI335" s="31"/>
      <c r="CJ335" s="31"/>
      <c r="CK335" s="31"/>
      <c r="CL335" s="31"/>
      <c r="CM335" s="31"/>
      <c r="CN335" s="33"/>
      <c r="CO335" s="20"/>
      <c r="CP335" s="33"/>
      <c r="CQ335" s="33"/>
      <c r="CR335" s="33"/>
      <c r="CS335" s="33"/>
      <c r="CT335" s="33"/>
      <c r="CU335" s="33"/>
    </row>
    <row r="336" spans="1:99" ht="15" customHeight="1">
      <c r="A336" s="5"/>
      <c r="B336" s="5"/>
      <c r="C336" s="5"/>
      <c r="D336" s="5"/>
      <c r="E336" s="20"/>
      <c r="F336" s="20"/>
      <c r="G336" s="5"/>
      <c r="H336" s="5"/>
      <c r="I336" s="5"/>
      <c r="J336" s="5"/>
      <c r="K336" s="5"/>
      <c r="L336" s="5"/>
      <c r="M336" s="5"/>
      <c r="N336" s="5"/>
      <c r="O336" s="5"/>
      <c r="P336" s="5"/>
      <c r="Q336" s="5"/>
      <c r="R336" s="5"/>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c r="BM336" s="20"/>
      <c r="BN336" s="20"/>
      <c r="BO336" s="20"/>
      <c r="BP336" s="20"/>
      <c r="BQ336" s="30"/>
      <c r="BR336" s="30"/>
      <c r="BS336" s="30"/>
      <c r="BT336" s="31"/>
      <c r="BU336" s="30"/>
      <c r="BV336" s="20"/>
      <c r="BW336" s="30"/>
      <c r="BX336" s="30"/>
      <c r="BY336" s="30"/>
      <c r="BZ336" s="31"/>
      <c r="CA336" s="30"/>
      <c r="CB336" s="20"/>
      <c r="CC336" s="29"/>
      <c r="CD336" s="29"/>
      <c r="CE336" s="29"/>
      <c r="CF336" s="32"/>
      <c r="CG336" s="29"/>
      <c r="CH336" s="20"/>
      <c r="CI336" s="31"/>
      <c r="CJ336" s="31"/>
      <c r="CK336" s="31"/>
      <c r="CL336" s="31"/>
      <c r="CM336" s="31"/>
      <c r="CN336" s="33"/>
      <c r="CO336" s="20"/>
      <c r="CP336" s="33"/>
      <c r="CQ336" s="33"/>
      <c r="CR336" s="33"/>
      <c r="CS336" s="33"/>
      <c r="CT336" s="33"/>
      <c r="CU336" s="33"/>
    </row>
    <row r="337" spans="1:99" ht="15" customHeight="1">
      <c r="A337" s="5"/>
      <c r="B337" s="5"/>
      <c r="C337" s="5"/>
      <c r="D337" s="5"/>
      <c r="E337" s="20"/>
      <c r="F337" s="20"/>
      <c r="G337" s="5"/>
      <c r="H337" s="5"/>
      <c r="I337" s="5"/>
      <c r="J337" s="5"/>
      <c r="K337" s="5"/>
      <c r="L337" s="5"/>
      <c r="M337" s="5"/>
      <c r="N337" s="5"/>
      <c r="O337" s="5"/>
      <c r="P337" s="5"/>
      <c r="Q337" s="5"/>
      <c r="R337" s="5"/>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c r="BM337" s="20"/>
      <c r="BN337" s="20"/>
      <c r="BO337" s="20"/>
      <c r="BP337" s="20"/>
      <c r="BQ337" s="30"/>
      <c r="BR337" s="30"/>
      <c r="BS337" s="30"/>
      <c r="BT337" s="31"/>
      <c r="BU337" s="30"/>
      <c r="BV337" s="20"/>
      <c r="BW337" s="30"/>
      <c r="BX337" s="30"/>
      <c r="BY337" s="30"/>
      <c r="BZ337" s="31"/>
      <c r="CA337" s="30"/>
      <c r="CB337" s="20"/>
      <c r="CC337" s="29"/>
      <c r="CD337" s="29"/>
      <c r="CE337" s="29"/>
      <c r="CF337" s="32"/>
      <c r="CG337" s="29"/>
      <c r="CH337" s="20"/>
      <c r="CI337" s="31"/>
      <c r="CJ337" s="31"/>
      <c r="CK337" s="31"/>
      <c r="CL337" s="31"/>
      <c r="CM337" s="31"/>
      <c r="CN337" s="33"/>
      <c r="CO337" s="20"/>
      <c r="CP337" s="33"/>
      <c r="CQ337" s="33"/>
      <c r="CR337" s="33"/>
      <c r="CS337" s="33"/>
      <c r="CT337" s="33"/>
      <c r="CU337" s="33"/>
    </row>
  </sheetData>
  <mergeCells count="2">
    <mergeCell ref="C6:F6"/>
    <mergeCell ref="C117:F117"/>
  </mergeCells>
  <pageMargins left="0.7" right="0.7" top="0.75" bottom="0.75" header="0.3" footer="0.3"/>
  <pageSetup orientation="portrait"/>
  <headerFooter>
    <oddFooter>&amp;C&amp;"Helvetica,Regular"&amp;12&amp;K000000&amp;P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0"/>
  <sheetViews>
    <sheetView showGridLines="0" workbookViewId="0">
      <pane xSplit="1" ySplit="1" topLeftCell="B2" activePane="bottomRight" state="frozen"/>
      <selection pane="topRight"/>
      <selection pane="bottomLeft"/>
      <selection pane="bottomRight" activeCell="B2" sqref="B2"/>
    </sheetView>
  </sheetViews>
  <sheetFormatPr baseColWidth="10" defaultColWidth="16.33203125" defaultRowHeight="14.75" customHeight="1"/>
  <cols>
    <col min="1" max="256" width="16.33203125" style="93" customWidth="1"/>
  </cols>
  <sheetData>
    <row r="1" spans="1:5" ht="14.5" customHeight="1">
      <c r="A1" s="94"/>
      <c r="B1" s="94"/>
      <c r="C1" s="94"/>
      <c r="D1" s="94"/>
      <c r="E1" s="94"/>
    </row>
    <row r="2" spans="1:5" ht="14.5" customHeight="1">
      <c r="A2" s="95"/>
      <c r="B2" s="96"/>
      <c r="C2" s="97"/>
      <c r="D2" s="97"/>
      <c r="E2" s="97"/>
    </row>
    <row r="3" spans="1:5" ht="14.25" customHeight="1">
      <c r="A3" s="98"/>
      <c r="B3" s="99"/>
      <c r="C3" s="100"/>
      <c r="D3" s="100"/>
      <c r="E3" s="100"/>
    </row>
    <row r="4" spans="1:5" ht="14.25" customHeight="1">
      <c r="A4" s="98"/>
      <c r="B4" s="99"/>
      <c r="C4" s="100"/>
      <c r="D4" s="100"/>
      <c r="E4" s="100"/>
    </row>
    <row r="5" spans="1:5" ht="14.25" customHeight="1">
      <c r="A5" s="98"/>
      <c r="B5" s="99"/>
      <c r="C5" s="100"/>
      <c r="D5" s="100"/>
      <c r="E5" s="100"/>
    </row>
    <row r="6" spans="1:5" ht="14.25" customHeight="1">
      <c r="A6" s="98"/>
      <c r="B6" s="99"/>
      <c r="C6" s="100"/>
      <c r="D6" s="100"/>
      <c r="E6" s="100"/>
    </row>
    <row r="7" spans="1:5" ht="14.25" customHeight="1">
      <c r="A7" s="98"/>
      <c r="B7" s="99"/>
      <c r="C7" s="100"/>
      <c r="D7" s="100"/>
      <c r="E7" s="100"/>
    </row>
    <row r="8" spans="1:5" ht="14.25" customHeight="1">
      <c r="A8" s="98"/>
      <c r="B8" s="99"/>
      <c r="C8" s="100"/>
      <c r="D8" s="100"/>
      <c r="E8" s="100"/>
    </row>
    <row r="9" spans="1:5" ht="14.25" customHeight="1">
      <c r="A9" s="98"/>
      <c r="B9" s="99"/>
      <c r="C9" s="100"/>
      <c r="D9" s="100"/>
      <c r="E9" s="100"/>
    </row>
    <row r="10" spans="1:5" ht="14.25" customHeight="1">
      <c r="A10" s="98"/>
      <c r="B10" s="99"/>
      <c r="C10" s="100"/>
      <c r="D10" s="100"/>
      <c r="E10" s="100"/>
    </row>
  </sheetData>
  <pageMargins left="1" right="1" top="1" bottom="1" header="0.25" footer="0.25"/>
  <pageSetup orientation="portrait"/>
  <headerFooter>
    <oddFooter>&amp;C&amp;"Helvetica,Regular"&amp;12&amp;K000000&amp;P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942"/>
  <sheetViews>
    <sheetView showGridLines="0" workbookViewId="0"/>
  </sheetViews>
  <sheetFormatPr baseColWidth="10" defaultColWidth="12.5" defaultRowHeight="15" customHeight="1"/>
  <cols>
    <col min="1" max="1" width="8" style="101" customWidth="1"/>
    <col min="2" max="2" width="42" style="101" customWidth="1"/>
    <col min="3" max="3" width="10.83203125" style="101" customWidth="1"/>
    <col min="4" max="7" width="8" style="101" customWidth="1"/>
    <col min="8" max="8" width="31.83203125" style="101" customWidth="1"/>
    <col min="9" max="256" width="12.5" style="101" customWidth="1"/>
  </cols>
  <sheetData>
    <row r="1" spans="1:8" ht="12.75" customHeight="1">
      <c r="A1" s="102">
        <v>1</v>
      </c>
      <c r="B1" s="103" t="s">
        <v>167</v>
      </c>
      <c r="C1" s="104"/>
      <c r="D1" s="104"/>
      <c r="E1" s="104"/>
      <c r="F1" s="104"/>
      <c r="G1" s="104"/>
      <c r="H1" s="104"/>
    </row>
    <row r="2" spans="1:8" ht="12.75" customHeight="1">
      <c r="A2" s="102">
        <v>2</v>
      </c>
      <c r="B2" s="103" t="s">
        <v>168</v>
      </c>
      <c r="C2" s="104"/>
      <c r="D2" s="104"/>
      <c r="E2" s="104"/>
      <c r="F2" s="104"/>
      <c r="G2" s="104"/>
      <c r="H2" s="104"/>
    </row>
    <row r="3" spans="1:8" ht="12.75" customHeight="1">
      <c r="A3" s="102">
        <v>3</v>
      </c>
      <c r="B3" s="103" t="s">
        <v>169</v>
      </c>
      <c r="C3" s="104"/>
      <c r="D3" s="104"/>
      <c r="E3" s="104"/>
      <c r="F3" s="104"/>
      <c r="G3" s="104"/>
      <c r="H3" s="104"/>
    </row>
    <row r="4" spans="1:8" ht="12.75" customHeight="1">
      <c r="A4" s="102">
        <v>4</v>
      </c>
      <c r="B4" s="103" t="s">
        <v>170</v>
      </c>
      <c r="C4" s="104"/>
      <c r="D4" s="104"/>
      <c r="E4" s="104"/>
      <c r="F4" s="104"/>
      <c r="G4" s="104"/>
      <c r="H4" s="104"/>
    </row>
    <row r="5" spans="1:8" ht="12.75" customHeight="1">
      <c r="A5" s="102">
        <v>5</v>
      </c>
      <c r="B5" s="103" t="s">
        <v>171</v>
      </c>
      <c r="C5" s="104"/>
      <c r="D5" s="104"/>
      <c r="E5" s="104"/>
      <c r="F5" s="104"/>
      <c r="G5" s="104"/>
      <c r="H5" s="104"/>
    </row>
    <row r="6" spans="1:8" ht="12.75" customHeight="1">
      <c r="A6" s="102">
        <v>6</v>
      </c>
      <c r="B6" s="103" t="s">
        <v>173</v>
      </c>
      <c r="C6" s="104"/>
      <c r="D6" s="104"/>
      <c r="E6" s="104"/>
      <c r="F6" s="104"/>
      <c r="G6" s="104"/>
      <c r="H6" s="104"/>
    </row>
    <row r="7" spans="1:8" ht="12.75" customHeight="1">
      <c r="A7" s="102">
        <v>7</v>
      </c>
      <c r="B7" s="103" t="s">
        <v>174</v>
      </c>
      <c r="C7" s="104"/>
      <c r="D7" s="104"/>
      <c r="E7" s="104"/>
      <c r="F7" s="104"/>
      <c r="G7" s="104"/>
      <c r="H7" s="104"/>
    </row>
    <row r="8" spans="1:8" ht="12.75" customHeight="1">
      <c r="A8" s="102">
        <v>8</v>
      </c>
      <c r="B8" s="103" t="s">
        <v>175</v>
      </c>
      <c r="C8" s="104"/>
      <c r="D8" s="104"/>
      <c r="E8" s="104"/>
      <c r="F8" s="104"/>
      <c r="G8" s="104"/>
      <c r="H8" s="104"/>
    </row>
    <row r="9" spans="1:8" ht="12.75" customHeight="1">
      <c r="A9" s="102">
        <v>9</v>
      </c>
      <c r="B9" s="103" t="s">
        <v>176</v>
      </c>
      <c r="C9" s="104"/>
      <c r="D9" s="104"/>
      <c r="E9" s="104"/>
      <c r="F9" s="104"/>
      <c r="G9" s="105"/>
      <c r="H9" s="104"/>
    </row>
    <row r="10" spans="1:8" ht="12.75" customHeight="1">
      <c r="A10" s="102">
        <v>10</v>
      </c>
      <c r="B10" s="103" t="s">
        <v>177</v>
      </c>
      <c r="C10" s="104"/>
      <c r="D10" s="104"/>
      <c r="E10" s="104"/>
      <c r="F10" s="104"/>
      <c r="G10" s="104"/>
      <c r="H10" s="104"/>
    </row>
    <row r="11" spans="1:8" ht="12.75" customHeight="1">
      <c r="A11" s="102">
        <v>11</v>
      </c>
      <c r="B11" s="103" t="s">
        <v>178</v>
      </c>
      <c r="C11" s="104"/>
      <c r="D11" s="104"/>
      <c r="E11" s="104"/>
      <c r="F11" s="104"/>
      <c r="G11" s="104"/>
      <c r="H11" s="104"/>
    </row>
    <row r="12" spans="1:8" ht="12.75" customHeight="1">
      <c r="A12" s="102">
        <v>12</v>
      </c>
      <c r="B12" s="103" t="s">
        <v>179</v>
      </c>
      <c r="C12" s="104"/>
      <c r="D12" s="104"/>
      <c r="E12" s="104"/>
      <c r="F12" s="104"/>
      <c r="G12" s="104"/>
      <c r="H12" s="104"/>
    </row>
    <row r="13" spans="1:8" ht="12.75" customHeight="1">
      <c r="A13" s="102">
        <v>13</v>
      </c>
      <c r="B13" s="103" t="s">
        <v>180</v>
      </c>
      <c r="C13" s="104"/>
      <c r="D13" s="104"/>
      <c r="E13" s="104"/>
      <c r="F13" s="104"/>
      <c r="G13" s="104"/>
      <c r="H13" s="104"/>
    </row>
    <row r="14" spans="1:8" ht="12.75" customHeight="1">
      <c r="A14" s="102">
        <v>14</v>
      </c>
      <c r="B14" s="103" t="s">
        <v>181</v>
      </c>
      <c r="C14" s="104"/>
      <c r="D14" s="104"/>
      <c r="E14" s="104"/>
      <c r="F14" s="104"/>
      <c r="G14" s="104"/>
      <c r="H14" s="104"/>
    </row>
    <row r="15" spans="1:8" ht="12.75" customHeight="1">
      <c r="A15" s="102">
        <v>15</v>
      </c>
      <c r="B15" s="103" t="s">
        <v>182</v>
      </c>
      <c r="C15" s="104"/>
      <c r="D15" s="104"/>
      <c r="E15" s="104"/>
      <c r="F15" s="104"/>
      <c r="G15" s="104"/>
      <c r="H15" s="104"/>
    </row>
    <row r="16" spans="1:8" ht="12.75" customHeight="1">
      <c r="A16" s="102">
        <v>16</v>
      </c>
      <c r="B16" s="103" t="s">
        <v>183</v>
      </c>
      <c r="C16" s="104"/>
      <c r="D16" s="104"/>
      <c r="E16" s="104"/>
      <c r="F16" s="104"/>
      <c r="G16" s="104"/>
      <c r="H16" s="104"/>
    </row>
    <row r="17" spans="1:8" ht="12.75" customHeight="1">
      <c r="A17" s="102">
        <v>17</v>
      </c>
      <c r="B17" s="103" t="s">
        <v>184</v>
      </c>
      <c r="C17" s="104"/>
      <c r="D17" s="104"/>
      <c r="E17" s="104"/>
      <c r="F17" s="104"/>
      <c r="G17" s="104"/>
      <c r="H17" s="104"/>
    </row>
    <row r="18" spans="1:8" ht="12.75" customHeight="1">
      <c r="A18" s="102">
        <v>18</v>
      </c>
      <c r="B18" s="103" t="s">
        <v>185</v>
      </c>
      <c r="C18" s="104"/>
      <c r="D18" s="104"/>
      <c r="E18" s="104"/>
      <c r="F18" s="104"/>
      <c r="G18" s="104"/>
      <c r="H18" s="104"/>
    </row>
    <row r="19" spans="1:8" ht="12.75" customHeight="1">
      <c r="A19" s="102">
        <v>19</v>
      </c>
      <c r="B19" s="103" t="s">
        <v>186</v>
      </c>
      <c r="C19" s="104"/>
      <c r="D19" s="104"/>
      <c r="E19" s="104"/>
      <c r="F19" s="104"/>
      <c r="G19" s="104"/>
      <c r="H19" s="104"/>
    </row>
    <row r="20" spans="1:8" ht="12.75" customHeight="1">
      <c r="A20" s="102">
        <v>20</v>
      </c>
      <c r="B20" s="103" t="s">
        <v>187</v>
      </c>
      <c r="C20" s="104"/>
      <c r="D20" s="104"/>
      <c r="E20" s="104"/>
      <c r="F20" s="104"/>
      <c r="G20" s="104"/>
      <c r="H20" s="104"/>
    </row>
    <row r="21" spans="1:8" ht="12.75" customHeight="1">
      <c r="A21" s="102">
        <v>21</v>
      </c>
      <c r="B21" s="103" t="s">
        <v>188</v>
      </c>
      <c r="C21" s="104"/>
      <c r="D21" s="104"/>
      <c r="E21" s="104"/>
      <c r="F21" s="104"/>
      <c r="G21" s="104"/>
      <c r="H21" s="104"/>
    </row>
    <row r="22" spans="1:8" ht="12.75" customHeight="1">
      <c r="A22" s="102">
        <v>22</v>
      </c>
      <c r="B22" s="103" t="s">
        <v>189</v>
      </c>
      <c r="C22" s="104"/>
      <c r="D22" s="104"/>
      <c r="E22" s="104"/>
      <c r="F22" s="104"/>
      <c r="G22" s="104"/>
      <c r="H22" s="104"/>
    </row>
    <row r="23" spans="1:8" ht="12.75" customHeight="1">
      <c r="A23" s="102">
        <v>23</v>
      </c>
      <c r="B23" s="103" t="s">
        <v>190</v>
      </c>
      <c r="C23" s="104"/>
      <c r="D23" s="104"/>
      <c r="E23" s="104"/>
      <c r="F23" s="104"/>
      <c r="G23" s="104"/>
      <c r="H23" s="104"/>
    </row>
    <row r="24" spans="1:8" ht="12.75" customHeight="1">
      <c r="A24" s="102">
        <v>24</v>
      </c>
      <c r="B24" s="103" t="s">
        <v>191</v>
      </c>
      <c r="C24" s="104"/>
      <c r="D24" s="104"/>
      <c r="E24" s="104"/>
      <c r="F24" s="104"/>
      <c r="G24" s="104"/>
      <c r="H24" s="104"/>
    </row>
    <row r="25" spans="1:8" ht="12.75" customHeight="1">
      <c r="A25" s="102">
        <v>25</v>
      </c>
      <c r="B25" s="103" t="s">
        <v>192</v>
      </c>
      <c r="C25" s="104"/>
      <c r="D25" s="104"/>
      <c r="E25" s="104"/>
      <c r="F25" s="104"/>
      <c r="G25" s="104"/>
      <c r="H25" s="104"/>
    </row>
    <row r="26" spans="1:8" ht="12.75" customHeight="1">
      <c r="A26" s="102">
        <v>26</v>
      </c>
      <c r="B26" s="103" t="s">
        <v>193</v>
      </c>
      <c r="C26" s="104"/>
      <c r="D26" s="104"/>
      <c r="E26" s="104"/>
      <c r="F26" s="104"/>
      <c r="G26" s="104"/>
      <c r="H26" s="104"/>
    </row>
    <row r="27" spans="1:8" ht="12.75" customHeight="1">
      <c r="A27" s="102">
        <v>27</v>
      </c>
      <c r="B27" s="103" t="s">
        <v>194</v>
      </c>
      <c r="C27" s="103" t="s">
        <v>490</v>
      </c>
      <c r="D27" s="104"/>
      <c r="E27" s="104"/>
      <c r="F27" s="104"/>
      <c r="G27" s="104"/>
      <c r="H27" s="104"/>
    </row>
    <row r="28" spans="1:8" ht="12.75" customHeight="1">
      <c r="A28" s="102">
        <v>28</v>
      </c>
      <c r="B28" s="103" t="s">
        <v>195</v>
      </c>
      <c r="C28" s="104"/>
      <c r="D28" s="104"/>
      <c r="E28" s="104"/>
      <c r="F28" s="104"/>
      <c r="G28" s="104"/>
      <c r="H28" s="104"/>
    </row>
    <row r="29" spans="1:8" ht="12.75" customHeight="1">
      <c r="A29" s="102">
        <v>29</v>
      </c>
      <c r="B29" s="103" t="s">
        <v>196</v>
      </c>
      <c r="C29" s="104"/>
      <c r="D29" s="104"/>
      <c r="E29" s="104"/>
      <c r="F29" s="104"/>
      <c r="G29" s="104"/>
      <c r="H29" s="104"/>
    </row>
    <row r="30" spans="1:8" ht="12.75" customHeight="1">
      <c r="A30" s="102">
        <v>30</v>
      </c>
      <c r="B30" s="103" t="s">
        <v>197</v>
      </c>
      <c r="C30" s="103" t="s">
        <v>491</v>
      </c>
      <c r="D30" s="104"/>
      <c r="E30" s="104"/>
      <c r="F30" s="104"/>
      <c r="G30" s="104"/>
      <c r="H30" s="104"/>
    </row>
    <row r="31" spans="1:8" ht="12.75" customHeight="1">
      <c r="A31" s="102">
        <v>31</v>
      </c>
      <c r="B31" s="103" t="s">
        <v>198</v>
      </c>
      <c r="C31" s="104"/>
      <c r="D31" s="104"/>
      <c r="E31" s="104"/>
      <c r="F31" s="104"/>
      <c r="G31" s="104"/>
      <c r="H31" s="104"/>
    </row>
    <row r="32" spans="1:8" ht="12.75" customHeight="1">
      <c r="A32" s="102">
        <v>32</v>
      </c>
      <c r="B32" s="103" t="s">
        <v>199</v>
      </c>
      <c r="C32" s="104"/>
      <c r="D32" s="104"/>
      <c r="E32" s="104"/>
      <c r="F32" s="104"/>
      <c r="G32" s="104"/>
      <c r="H32" s="104"/>
    </row>
    <row r="33" spans="1:8" ht="12.75" customHeight="1">
      <c r="A33" s="102">
        <v>33</v>
      </c>
      <c r="B33" s="103" t="s">
        <v>200</v>
      </c>
      <c r="C33" s="104"/>
      <c r="D33" s="104"/>
      <c r="E33" s="104"/>
      <c r="F33" s="104"/>
      <c r="G33" s="104"/>
      <c r="H33" s="104"/>
    </row>
    <row r="34" spans="1:8" ht="12.75" customHeight="1">
      <c r="A34" s="102">
        <v>34</v>
      </c>
      <c r="B34" s="103" t="s">
        <v>201</v>
      </c>
      <c r="C34" s="104"/>
      <c r="D34" s="104"/>
      <c r="E34" s="104"/>
      <c r="F34" s="104"/>
      <c r="G34" s="104"/>
      <c r="H34" s="104"/>
    </row>
    <row r="35" spans="1:8" ht="12.75" customHeight="1">
      <c r="A35" s="102">
        <v>35</v>
      </c>
      <c r="B35" s="103" t="s">
        <v>202</v>
      </c>
      <c r="C35" s="104"/>
      <c r="D35" s="104"/>
      <c r="E35" s="104"/>
      <c r="F35" s="104"/>
      <c r="G35" s="104"/>
      <c r="H35" s="104"/>
    </row>
    <row r="36" spans="1:8" ht="12.75" customHeight="1">
      <c r="A36" s="102">
        <v>36</v>
      </c>
      <c r="B36" s="103" t="s">
        <v>203</v>
      </c>
      <c r="C36" s="104"/>
      <c r="D36" s="104"/>
      <c r="E36" s="104"/>
      <c r="F36" s="104"/>
      <c r="G36" s="104"/>
      <c r="H36" s="104"/>
    </row>
    <row r="37" spans="1:8" ht="12.75" customHeight="1">
      <c r="A37" s="102">
        <v>37</v>
      </c>
      <c r="B37" s="103" t="s">
        <v>204</v>
      </c>
      <c r="C37" s="104"/>
      <c r="D37" s="104"/>
      <c r="E37" s="104"/>
      <c r="F37" s="104"/>
      <c r="G37" s="104"/>
      <c r="H37" s="104"/>
    </row>
    <row r="38" spans="1:8" ht="12.75" customHeight="1">
      <c r="A38" s="102">
        <v>38</v>
      </c>
      <c r="B38" s="103" t="s">
        <v>205</v>
      </c>
      <c r="C38" s="104"/>
      <c r="D38" s="104"/>
      <c r="E38" s="104"/>
      <c r="F38" s="104"/>
      <c r="G38" s="104"/>
      <c r="H38" s="104"/>
    </row>
    <row r="39" spans="1:8" ht="12.75" customHeight="1">
      <c r="A39" s="102">
        <v>39</v>
      </c>
      <c r="B39" s="103" t="s">
        <v>206</v>
      </c>
      <c r="C39" s="104"/>
      <c r="D39" s="104"/>
      <c r="E39" s="104"/>
      <c r="F39" s="104"/>
      <c r="G39" s="104"/>
      <c r="H39" s="104"/>
    </row>
    <row r="40" spans="1:8" ht="12.75" customHeight="1">
      <c r="A40" s="102">
        <v>40</v>
      </c>
      <c r="B40" s="103" t="s">
        <v>207</v>
      </c>
      <c r="C40" s="104"/>
      <c r="D40" s="104"/>
      <c r="E40" s="104"/>
      <c r="F40" s="104"/>
      <c r="G40" s="104"/>
      <c r="H40" s="104"/>
    </row>
    <row r="41" spans="1:8" ht="12.75" customHeight="1">
      <c r="A41" s="102">
        <v>41</v>
      </c>
      <c r="B41" s="103" t="s">
        <v>208</v>
      </c>
      <c r="C41" s="104"/>
      <c r="D41" s="104"/>
      <c r="E41" s="104"/>
      <c r="F41" s="104"/>
      <c r="G41" s="104"/>
      <c r="H41" s="104"/>
    </row>
    <row r="42" spans="1:8" ht="12.75" customHeight="1">
      <c r="A42" s="102">
        <v>42</v>
      </c>
      <c r="B42" s="103" t="s">
        <v>209</v>
      </c>
      <c r="C42" s="104"/>
      <c r="D42" s="104"/>
      <c r="E42" s="104"/>
      <c r="F42" s="104"/>
      <c r="G42" s="104"/>
      <c r="H42" s="104"/>
    </row>
    <row r="43" spans="1:8" ht="12.75" customHeight="1">
      <c r="A43" s="102">
        <v>43</v>
      </c>
      <c r="B43" s="103" t="s">
        <v>210</v>
      </c>
      <c r="C43" s="104"/>
      <c r="D43" s="104"/>
      <c r="E43" s="104"/>
      <c r="F43" s="104"/>
      <c r="G43" s="104"/>
      <c r="H43" s="104"/>
    </row>
    <row r="44" spans="1:8" ht="12.75" customHeight="1">
      <c r="A44" s="102">
        <v>44</v>
      </c>
      <c r="B44" s="103" t="s">
        <v>211</v>
      </c>
      <c r="C44" s="104"/>
      <c r="D44" s="104"/>
      <c r="E44" s="104"/>
      <c r="F44" s="104"/>
      <c r="G44" s="104"/>
      <c r="H44" s="104"/>
    </row>
    <row r="45" spans="1:8" ht="12.75" customHeight="1">
      <c r="A45" s="102">
        <v>45</v>
      </c>
      <c r="B45" s="103" t="s">
        <v>212</v>
      </c>
      <c r="C45" s="104"/>
      <c r="D45" s="104"/>
      <c r="E45" s="104"/>
      <c r="F45" s="104"/>
      <c r="G45" s="104"/>
      <c r="H45" s="104"/>
    </row>
    <row r="46" spans="1:8" ht="12.75" customHeight="1">
      <c r="A46" s="102">
        <v>46</v>
      </c>
      <c r="B46" s="103" t="s">
        <v>213</v>
      </c>
      <c r="C46" s="104"/>
      <c r="D46" s="104"/>
      <c r="E46" s="104"/>
      <c r="F46" s="104"/>
      <c r="G46" s="104"/>
      <c r="H46" s="104"/>
    </row>
    <row r="47" spans="1:8" ht="12.75" customHeight="1">
      <c r="A47" s="102">
        <v>47</v>
      </c>
      <c r="B47" s="103" t="s">
        <v>214</v>
      </c>
      <c r="C47" s="104"/>
      <c r="D47" s="104"/>
      <c r="E47" s="104"/>
      <c r="F47" s="104"/>
      <c r="G47" s="104"/>
      <c r="H47" s="104"/>
    </row>
    <row r="48" spans="1:8" ht="12.75" customHeight="1">
      <c r="A48" s="102">
        <v>48</v>
      </c>
      <c r="B48" s="103" t="s">
        <v>215</v>
      </c>
      <c r="C48" s="104"/>
      <c r="D48" s="104"/>
      <c r="E48" s="104"/>
      <c r="F48" s="104"/>
      <c r="G48" s="104"/>
      <c r="H48" s="104"/>
    </row>
    <row r="49" spans="1:8" ht="12.75" customHeight="1">
      <c r="A49" s="102">
        <v>49</v>
      </c>
      <c r="B49" s="103" t="s">
        <v>216</v>
      </c>
      <c r="C49" s="2" t="s">
        <v>492</v>
      </c>
      <c r="D49" s="104"/>
      <c r="E49" s="5"/>
      <c r="F49" s="104"/>
      <c r="G49" s="104"/>
      <c r="H49" s="104"/>
    </row>
    <row r="50" spans="1:8" ht="12.75" customHeight="1">
      <c r="A50" s="102">
        <v>50</v>
      </c>
      <c r="B50" s="103" t="s">
        <v>217</v>
      </c>
      <c r="C50" s="5"/>
      <c r="D50" s="104"/>
      <c r="E50" s="5"/>
      <c r="F50" s="104"/>
      <c r="G50" s="104"/>
      <c r="H50" s="104"/>
    </row>
    <row r="51" spans="1:8" ht="12.75" customHeight="1">
      <c r="A51" s="102">
        <v>51</v>
      </c>
      <c r="B51" s="103" t="s">
        <v>218</v>
      </c>
      <c r="C51" s="5"/>
      <c r="D51" s="104"/>
      <c r="E51" s="5"/>
      <c r="F51" s="104"/>
      <c r="G51" s="104"/>
      <c r="H51" s="104"/>
    </row>
    <row r="52" spans="1:8" ht="12.75" customHeight="1">
      <c r="A52" s="102">
        <v>52</v>
      </c>
      <c r="B52" s="103" t="s">
        <v>219</v>
      </c>
      <c r="C52" s="5"/>
      <c r="D52" s="104"/>
      <c r="E52" s="5"/>
      <c r="F52" s="104"/>
      <c r="G52" s="104"/>
      <c r="H52" s="104"/>
    </row>
    <row r="53" spans="1:8" ht="12.75" customHeight="1">
      <c r="A53" s="102">
        <v>53</v>
      </c>
      <c r="B53" s="103" t="s">
        <v>220</v>
      </c>
      <c r="C53" s="5"/>
      <c r="D53" s="104"/>
      <c r="E53" s="5"/>
      <c r="F53" s="104"/>
      <c r="G53" s="104"/>
      <c r="H53" s="104"/>
    </row>
    <row r="54" spans="1:8" ht="12.75" customHeight="1">
      <c r="A54" s="102">
        <v>54</v>
      </c>
      <c r="B54" s="103" t="s">
        <v>221</v>
      </c>
      <c r="C54" s="5"/>
      <c r="D54" s="104"/>
      <c r="E54" s="5"/>
      <c r="F54" s="104"/>
      <c r="G54" s="104"/>
      <c r="H54" s="104"/>
    </row>
    <row r="55" spans="1:8" ht="12.75" customHeight="1">
      <c r="A55" s="102">
        <v>55</v>
      </c>
      <c r="B55" s="103" t="s">
        <v>222</v>
      </c>
      <c r="C55" s="2" t="s">
        <v>493</v>
      </c>
      <c r="D55" s="104"/>
      <c r="E55" s="5"/>
      <c r="F55" s="104"/>
      <c r="G55" s="104"/>
      <c r="H55" s="104"/>
    </row>
    <row r="56" spans="1:8" ht="12.75" customHeight="1">
      <c r="A56" s="104"/>
      <c r="B56" s="104"/>
      <c r="C56" s="104"/>
      <c r="D56" s="104"/>
      <c r="E56" s="104"/>
      <c r="F56" s="104"/>
      <c r="G56" s="104"/>
      <c r="H56" s="104"/>
    </row>
    <row r="57" spans="1:8" ht="12.75" customHeight="1">
      <c r="A57" s="104"/>
      <c r="B57" s="104"/>
      <c r="C57" s="104"/>
      <c r="D57" s="104"/>
      <c r="E57" s="104"/>
      <c r="F57" s="104"/>
      <c r="G57" s="104"/>
      <c r="H57" s="104"/>
    </row>
    <row r="58" spans="1:8" ht="12.75" customHeight="1">
      <c r="A58" s="104"/>
      <c r="B58" s="104"/>
      <c r="C58" s="104"/>
      <c r="D58" s="104"/>
      <c r="E58" s="104"/>
      <c r="F58" s="104"/>
      <c r="G58" s="104"/>
      <c r="H58" s="104"/>
    </row>
    <row r="59" spans="1:8" ht="12.75" customHeight="1">
      <c r="A59" s="104"/>
      <c r="B59" s="104"/>
      <c r="C59" s="104"/>
      <c r="D59" s="104"/>
      <c r="E59" s="104"/>
      <c r="F59" s="104"/>
      <c r="G59" s="104"/>
      <c r="H59" s="104"/>
    </row>
    <row r="60" spans="1:8" ht="12.75" customHeight="1">
      <c r="A60" s="104"/>
      <c r="B60" s="104"/>
      <c r="C60" s="104"/>
      <c r="D60" s="104"/>
      <c r="E60" s="104"/>
      <c r="F60" s="104"/>
      <c r="G60" s="104"/>
      <c r="H60" s="104"/>
    </row>
    <row r="61" spans="1:8" ht="12.75" customHeight="1">
      <c r="A61" s="104"/>
      <c r="B61" s="104"/>
      <c r="C61" s="104"/>
      <c r="D61" s="104"/>
      <c r="E61" s="104"/>
      <c r="F61" s="104"/>
      <c r="G61" s="104"/>
      <c r="H61" s="104"/>
    </row>
    <row r="62" spans="1:8" ht="12.75" customHeight="1">
      <c r="A62" s="104"/>
      <c r="B62" s="104"/>
      <c r="C62" s="104"/>
      <c r="D62" s="104"/>
      <c r="E62" s="104"/>
      <c r="F62" s="104"/>
      <c r="G62" s="104"/>
      <c r="H62" s="104"/>
    </row>
    <row r="63" spans="1:8" ht="12.75" customHeight="1">
      <c r="A63" s="104"/>
      <c r="B63" s="104"/>
      <c r="C63" s="104"/>
      <c r="D63" s="104"/>
      <c r="E63" s="104"/>
      <c r="F63" s="104"/>
      <c r="G63" s="104"/>
      <c r="H63" s="104"/>
    </row>
    <row r="64" spans="1:8" ht="12.75" customHeight="1">
      <c r="A64" s="104"/>
      <c r="B64" s="104"/>
      <c r="C64" s="104"/>
      <c r="D64" s="104"/>
      <c r="E64" s="104"/>
      <c r="F64" s="104"/>
      <c r="G64" s="104"/>
      <c r="H64" s="104"/>
    </row>
    <row r="65" spans="1:8" ht="12.75" customHeight="1">
      <c r="A65" s="104"/>
      <c r="B65" s="104"/>
      <c r="C65" s="104"/>
      <c r="D65" s="104"/>
      <c r="E65" s="104"/>
      <c r="F65" s="104"/>
      <c r="G65" s="104"/>
      <c r="H65" s="104"/>
    </row>
    <row r="66" spans="1:8" ht="12.75" customHeight="1">
      <c r="A66" s="104"/>
      <c r="B66" s="104"/>
      <c r="C66" s="104"/>
      <c r="D66" s="104"/>
      <c r="E66" s="104"/>
      <c r="F66" s="104"/>
      <c r="G66" s="104"/>
      <c r="H66" s="104"/>
    </row>
    <row r="67" spans="1:8" ht="12.75" customHeight="1">
      <c r="A67" s="104"/>
      <c r="B67" s="104"/>
      <c r="C67" s="104"/>
      <c r="D67" s="104"/>
      <c r="E67" s="104"/>
      <c r="F67" s="104"/>
      <c r="G67" s="104"/>
      <c r="H67" s="104"/>
    </row>
    <row r="68" spans="1:8" ht="12.75" customHeight="1">
      <c r="A68" s="104"/>
      <c r="B68" s="104"/>
      <c r="C68" s="104"/>
      <c r="D68" s="104"/>
      <c r="E68" s="104"/>
      <c r="F68" s="104"/>
      <c r="G68" s="104"/>
      <c r="H68" s="104"/>
    </row>
    <row r="69" spans="1:8" ht="12.75" customHeight="1">
      <c r="A69" s="104"/>
      <c r="B69" s="104"/>
      <c r="C69" s="104"/>
      <c r="D69" s="104"/>
      <c r="E69" s="104"/>
      <c r="F69" s="104"/>
      <c r="G69" s="104"/>
      <c r="H69" s="104"/>
    </row>
    <row r="70" spans="1:8" ht="12.75" customHeight="1">
      <c r="A70" s="104"/>
      <c r="B70" s="104"/>
      <c r="C70" s="104"/>
      <c r="D70" s="104"/>
      <c r="E70" s="104"/>
      <c r="F70" s="104"/>
      <c r="G70" s="104"/>
      <c r="H70" s="104"/>
    </row>
    <row r="71" spans="1:8" ht="12.75" customHeight="1">
      <c r="A71" s="104"/>
      <c r="B71" s="104"/>
      <c r="C71" s="104"/>
      <c r="D71" s="104"/>
      <c r="E71" s="104"/>
      <c r="F71" s="104"/>
      <c r="G71" s="104"/>
      <c r="H71" s="104"/>
    </row>
    <row r="72" spans="1:8" ht="12.75" customHeight="1">
      <c r="A72" s="104"/>
      <c r="B72" s="104"/>
      <c r="C72" s="104"/>
      <c r="D72" s="104"/>
      <c r="E72" s="104"/>
      <c r="F72" s="104"/>
      <c r="G72" s="104"/>
      <c r="H72" s="104"/>
    </row>
    <row r="73" spans="1:8" ht="12.75" customHeight="1">
      <c r="A73" s="104"/>
      <c r="B73" s="104"/>
      <c r="C73" s="104"/>
      <c r="D73" s="104"/>
      <c r="E73" s="104"/>
      <c r="F73" s="104"/>
      <c r="G73" s="104"/>
      <c r="H73" s="104"/>
    </row>
    <row r="74" spans="1:8" ht="12.75" customHeight="1">
      <c r="A74" s="104"/>
      <c r="B74" s="104"/>
      <c r="C74" s="104"/>
      <c r="D74" s="104"/>
      <c r="E74" s="104"/>
      <c r="F74" s="104"/>
      <c r="G74" s="104"/>
      <c r="H74" s="104"/>
    </row>
    <row r="75" spans="1:8" ht="12.75" customHeight="1">
      <c r="A75" s="104"/>
      <c r="B75" s="104"/>
      <c r="C75" s="104"/>
      <c r="D75" s="104"/>
      <c r="E75" s="104"/>
      <c r="F75" s="104"/>
      <c r="G75" s="104"/>
      <c r="H75" s="104"/>
    </row>
    <row r="76" spans="1:8" ht="12.75" customHeight="1">
      <c r="A76" s="104"/>
      <c r="B76" s="104"/>
      <c r="C76" s="104"/>
      <c r="D76" s="104"/>
      <c r="E76" s="104"/>
      <c r="F76" s="104"/>
      <c r="G76" s="104"/>
      <c r="H76" s="104"/>
    </row>
    <row r="77" spans="1:8" ht="12.75" customHeight="1">
      <c r="A77" s="104"/>
      <c r="B77" s="104"/>
      <c r="C77" s="104"/>
      <c r="D77" s="104"/>
      <c r="E77" s="104"/>
      <c r="F77" s="104"/>
      <c r="G77" s="104"/>
      <c r="H77" s="104"/>
    </row>
    <row r="78" spans="1:8" ht="12.75" customHeight="1">
      <c r="A78" s="104"/>
      <c r="B78" s="104"/>
      <c r="C78" s="104"/>
      <c r="D78" s="104"/>
      <c r="E78" s="104"/>
      <c r="F78" s="104"/>
      <c r="G78" s="104"/>
      <c r="H78" s="104"/>
    </row>
    <row r="79" spans="1:8" ht="12.75" customHeight="1">
      <c r="A79" s="104"/>
      <c r="B79" s="104"/>
      <c r="C79" s="104"/>
      <c r="D79" s="104"/>
      <c r="E79" s="104"/>
      <c r="F79" s="104"/>
      <c r="G79" s="104"/>
      <c r="H79" s="104"/>
    </row>
    <row r="80" spans="1:8" ht="12.75" customHeight="1">
      <c r="A80" s="104"/>
      <c r="B80" s="104"/>
      <c r="C80" s="104"/>
      <c r="D80" s="104"/>
      <c r="E80" s="104"/>
      <c r="F80" s="104"/>
      <c r="G80" s="104"/>
      <c r="H80" s="104"/>
    </row>
    <row r="81" spans="1:8" ht="12.75" customHeight="1">
      <c r="A81" s="104"/>
      <c r="B81" s="104"/>
      <c r="C81" s="104"/>
      <c r="D81" s="104"/>
      <c r="E81" s="104"/>
      <c r="F81" s="104"/>
      <c r="G81" s="104"/>
      <c r="H81" s="104"/>
    </row>
    <row r="82" spans="1:8" ht="12.75" customHeight="1">
      <c r="A82" s="104"/>
      <c r="B82" s="104"/>
      <c r="C82" s="104"/>
      <c r="D82" s="104"/>
      <c r="E82" s="104"/>
      <c r="F82" s="104"/>
      <c r="G82" s="104"/>
      <c r="H82" s="104"/>
    </row>
    <row r="83" spans="1:8" ht="12.75" customHeight="1">
      <c r="A83" s="104"/>
      <c r="B83" s="104"/>
      <c r="C83" s="104"/>
      <c r="D83" s="104"/>
      <c r="E83" s="104"/>
      <c r="F83" s="104"/>
      <c r="G83" s="104"/>
      <c r="H83" s="104"/>
    </row>
    <row r="84" spans="1:8" ht="12.75" customHeight="1">
      <c r="A84" s="104"/>
      <c r="B84" s="104"/>
      <c r="C84" s="104"/>
      <c r="D84" s="104"/>
      <c r="E84" s="104"/>
      <c r="F84" s="104"/>
      <c r="G84" s="104"/>
      <c r="H84" s="104"/>
    </row>
    <row r="85" spans="1:8" ht="12.75" customHeight="1">
      <c r="A85" s="104"/>
      <c r="B85" s="104"/>
      <c r="C85" s="104"/>
      <c r="D85" s="104"/>
      <c r="E85" s="104"/>
      <c r="F85" s="104"/>
      <c r="G85" s="104"/>
      <c r="H85" s="104"/>
    </row>
    <row r="86" spans="1:8" ht="12.75" customHeight="1">
      <c r="A86" s="104"/>
      <c r="B86" s="104"/>
      <c r="C86" s="104"/>
      <c r="D86" s="104"/>
      <c r="E86" s="104"/>
      <c r="F86" s="104"/>
      <c r="G86" s="104"/>
      <c r="H86" s="104"/>
    </row>
    <row r="87" spans="1:8" ht="12.75" customHeight="1">
      <c r="A87" s="104"/>
      <c r="B87" s="104"/>
      <c r="C87" s="104"/>
      <c r="D87" s="104"/>
      <c r="E87" s="104"/>
      <c r="F87" s="104"/>
      <c r="G87" s="104"/>
      <c r="H87" s="104"/>
    </row>
    <row r="88" spans="1:8" ht="12.75" customHeight="1">
      <c r="A88" s="104"/>
      <c r="B88" s="104"/>
      <c r="C88" s="104"/>
      <c r="D88" s="104"/>
      <c r="E88" s="104"/>
      <c r="F88" s="104"/>
      <c r="G88" s="104"/>
      <c r="H88" s="104"/>
    </row>
    <row r="89" spans="1:8" ht="12.75" customHeight="1">
      <c r="A89" s="104"/>
      <c r="B89" s="104"/>
      <c r="C89" s="104"/>
      <c r="D89" s="104"/>
      <c r="E89" s="104"/>
      <c r="F89" s="104"/>
      <c r="G89" s="104"/>
      <c r="H89" s="104"/>
    </row>
    <row r="90" spans="1:8" ht="12.75" customHeight="1">
      <c r="A90" s="104"/>
      <c r="B90" s="104"/>
      <c r="C90" s="104"/>
      <c r="D90" s="104"/>
      <c r="E90" s="104"/>
      <c r="F90" s="104"/>
      <c r="G90" s="104"/>
      <c r="H90" s="104"/>
    </row>
    <row r="91" spans="1:8" ht="12.75" customHeight="1">
      <c r="A91" s="104"/>
      <c r="B91" s="104"/>
      <c r="C91" s="104"/>
      <c r="D91" s="104"/>
      <c r="E91" s="104"/>
      <c r="F91" s="104"/>
      <c r="G91" s="104"/>
      <c r="H91" s="104"/>
    </row>
    <row r="92" spans="1:8" ht="12.75" customHeight="1">
      <c r="A92" s="104"/>
      <c r="B92" s="104"/>
      <c r="C92" s="104"/>
      <c r="D92" s="104"/>
      <c r="E92" s="104"/>
      <c r="F92" s="104"/>
      <c r="G92" s="104"/>
      <c r="H92" s="104"/>
    </row>
    <row r="93" spans="1:8" ht="12.75" customHeight="1">
      <c r="A93" s="104"/>
      <c r="B93" s="104"/>
      <c r="C93" s="104"/>
      <c r="D93" s="104"/>
      <c r="E93" s="104"/>
      <c r="F93" s="104"/>
      <c r="G93" s="104"/>
      <c r="H93" s="104"/>
    </row>
    <row r="94" spans="1:8" ht="12.75" customHeight="1">
      <c r="A94" s="104"/>
      <c r="B94" s="104"/>
      <c r="C94" s="104"/>
      <c r="D94" s="104"/>
      <c r="E94" s="104"/>
      <c r="F94" s="104"/>
      <c r="G94" s="104"/>
      <c r="H94" s="104"/>
    </row>
    <row r="95" spans="1:8" ht="12.75" customHeight="1">
      <c r="A95" s="104"/>
      <c r="B95" s="104"/>
      <c r="C95" s="104"/>
      <c r="D95" s="104"/>
      <c r="E95" s="104"/>
      <c r="F95" s="104"/>
      <c r="G95" s="104"/>
      <c r="H95" s="104"/>
    </row>
    <row r="96" spans="1:8" ht="12.75" customHeight="1">
      <c r="A96" s="104"/>
      <c r="B96" s="104"/>
      <c r="C96" s="104"/>
      <c r="D96" s="104"/>
      <c r="E96" s="104"/>
      <c r="F96" s="104"/>
      <c r="G96" s="104"/>
      <c r="H96" s="104"/>
    </row>
    <row r="97" spans="1:8" ht="12.75" customHeight="1">
      <c r="A97" s="104"/>
      <c r="B97" s="104"/>
      <c r="C97" s="104"/>
      <c r="D97" s="104"/>
      <c r="E97" s="104"/>
      <c r="F97" s="104"/>
      <c r="G97" s="104"/>
      <c r="H97" s="104"/>
    </row>
    <row r="98" spans="1:8" ht="12.75" customHeight="1">
      <c r="A98" s="104"/>
      <c r="B98" s="104"/>
      <c r="C98" s="104"/>
      <c r="D98" s="104"/>
      <c r="E98" s="104"/>
      <c r="F98" s="104"/>
      <c r="G98" s="104"/>
      <c r="H98" s="104"/>
    </row>
    <row r="99" spans="1:8" ht="12.75" customHeight="1">
      <c r="A99" s="104"/>
      <c r="B99" s="104"/>
      <c r="C99" s="104"/>
      <c r="D99" s="104"/>
      <c r="E99" s="104"/>
      <c r="F99" s="104"/>
      <c r="G99" s="104"/>
      <c r="H99" s="104"/>
    </row>
    <row r="100" spans="1:8" ht="12.75" customHeight="1">
      <c r="A100" s="104"/>
      <c r="B100" s="104"/>
      <c r="C100" s="104"/>
      <c r="D100" s="104"/>
      <c r="E100" s="104"/>
      <c r="F100" s="104"/>
      <c r="G100" s="104"/>
      <c r="H100" s="104"/>
    </row>
    <row r="101" spans="1:8" ht="12.75" customHeight="1">
      <c r="A101" s="104"/>
      <c r="B101" s="104"/>
      <c r="C101" s="104"/>
      <c r="D101" s="104"/>
      <c r="E101" s="104"/>
      <c r="F101" s="104"/>
      <c r="G101" s="104"/>
      <c r="H101" s="104"/>
    </row>
    <row r="102" spans="1:8" ht="12.75" customHeight="1">
      <c r="A102" s="104"/>
      <c r="B102" s="104"/>
      <c r="C102" s="104"/>
      <c r="D102" s="104"/>
      <c r="E102" s="104"/>
      <c r="F102" s="104"/>
      <c r="G102" s="104"/>
      <c r="H102" s="104"/>
    </row>
    <row r="103" spans="1:8" ht="12.75" customHeight="1">
      <c r="A103" s="104"/>
      <c r="B103" s="104"/>
      <c r="C103" s="104"/>
      <c r="D103" s="104"/>
      <c r="E103" s="104"/>
      <c r="F103" s="104"/>
      <c r="G103" s="104"/>
      <c r="H103" s="104"/>
    </row>
    <row r="104" spans="1:8" ht="12.75" customHeight="1">
      <c r="A104" s="104"/>
      <c r="B104" s="104"/>
      <c r="C104" s="104"/>
      <c r="D104" s="104"/>
      <c r="E104" s="104"/>
      <c r="F104" s="104"/>
      <c r="G104" s="104"/>
      <c r="H104" s="104"/>
    </row>
    <row r="105" spans="1:8" ht="12.75" customHeight="1">
      <c r="A105" s="104"/>
      <c r="B105" s="104"/>
      <c r="C105" s="104"/>
      <c r="D105" s="104"/>
      <c r="E105" s="104"/>
      <c r="F105" s="104"/>
      <c r="G105" s="104"/>
      <c r="H105" s="104"/>
    </row>
    <row r="106" spans="1:8" ht="12.75" customHeight="1">
      <c r="A106" s="104"/>
      <c r="B106" s="104"/>
      <c r="C106" s="104"/>
      <c r="D106" s="104"/>
      <c r="E106" s="104"/>
      <c r="F106" s="104"/>
      <c r="G106" s="104"/>
      <c r="H106" s="104"/>
    </row>
    <row r="107" spans="1:8" ht="12.75" customHeight="1">
      <c r="A107" s="104"/>
      <c r="B107" s="104"/>
      <c r="C107" s="104"/>
      <c r="D107" s="104"/>
      <c r="E107" s="104"/>
      <c r="F107" s="104"/>
      <c r="G107" s="104"/>
      <c r="H107" s="104"/>
    </row>
    <row r="108" spans="1:8" ht="12.75" customHeight="1">
      <c r="A108" s="104"/>
      <c r="B108" s="104"/>
      <c r="C108" s="104"/>
      <c r="D108" s="104"/>
      <c r="E108" s="104"/>
      <c r="F108" s="104"/>
      <c r="G108" s="104"/>
      <c r="H108" s="104"/>
    </row>
    <row r="109" spans="1:8" ht="12.75" customHeight="1">
      <c r="A109" s="104"/>
      <c r="B109" s="104"/>
      <c r="C109" s="104"/>
      <c r="D109" s="104"/>
      <c r="E109" s="104"/>
      <c r="F109" s="104"/>
      <c r="G109" s="104"/>
      <c r="H109" s="104"/>
    </row>
    <row r="110" spans="1:8" ht="12.75" customHeight="1">
      <c r="A110" s="104"/>
      <c r="B110" s="104"/>
      <c r="C110" s="104"/>
      <c r="D110" s="104"/>
      <c r="E110" s="104"/>
      <c r="F110" s="104"/>
      <c r="G110" s="104"/>
      <c r="H110" s="104"/>
    </row>
    <row r="111" spans="1:8" ht="12.75" customHeight="1">
      <c r="A111" s="104"/>
      <c r="B111" s="104"/>
      <c r="C111" s="104"/>
      <c r="D111" s="104"/>
      <c r="E111" s="104"/>
      <c r="F111" s="104"/>
      <c r="G111" s="104"/>
      <c r="H111" s="104"/>
    </row>
    <row r="112" spans="1:8" ht="12.75" customHeight="1">
      <c r="A112" s="104"/>
      <c r="B112" s="104"/>
      <c r="C112" s="104"/>
      <c r="D112" s="104"/>
      <c r="E112" s="104"/>
      <c r="F112" s="104"/>
      <c r="G112" s="104"/>
      <c r="H112" s="104"/>
    </row>
    <row r="113" spans="1:8" ht="12.75" customHeight="1">
      <c r="A113" s="104"/>
      <c r="B113" s="104"/>
      <c r="C113" s="104"/>
      <c r="D113" s="104"/>
      <c r="E113" s="104"/>
      <c r="F113" s="104"/>
      <c r="G113" s="104"/>
      <c r="H113" s="104"/>
    </row>
    <row r="114" spans="1:8" ht="12.75" customHeight="1">
      <c r="A114" s="104"/>
      <c r="B114" s="104"/>
      <c r="C114" s="104"/>
      <c r="D114" s="104"/>
      <c r="E114" s="104"/>
      <c r="F114" s="104"/>
      <c r="G114" s="104"/>
      <c r="H114" s="104"/>
    </row>
    <row r="115" spans="1:8" ht="12.75" customHeight="1">
      <c r="A115" s="104"/>
      <c r="B115" s="104"/>
      <c r="C115" s="104"/>
      <c r="D115" s="104"/>
      <c r="E115" s="104"/>
      <c r="F115" s="104"/>
      <c r="G115" s="104"/>
      <c r="H115" s="104"/>
    </row>
    <row r="116" spans="1:8" ht="12.75" customHeight="1">
      <c r="A116" s="104"/>
      <c r="B116" s="104"/>
      <c r="C116" s="104"/>
      <c r="D116" s="104"/>
      <c r="E116" s="104"/>
      <c r="F116" s="104"/>
      <c r="G116" s="104"/>
      <c r="H116" s="104"/>
    </row>
    <row r="117" spans="1:8" ht="12.75" customHeight="1">
      <c r="A117" s="104"/>
      <c r="B117" s="104"/>
      <c r="C117" s="104"/>
      <c r="D117" s="104"/>
      <c r="E117" s="104"/>
      <c r="F117" s="104"/>
      <c r="G117" s="104"/>
      <c r="H117" s="104"/>
    </row>
    <row r="118" spans="1:8" ht="12.75" customHeight="1">
      <c r="A118" s="104"/>
      <c r="B118" s="104"/>
      <c r="C118" s="104"/>
      <c r="D118" s="104"/>
      <c r="E118" s="104"/>
      <c r="F118" s="104"/>
      <c r="G118" s="104"/>
      <c r="H118" s="104"/>
    </row>
    <row r="119" spans="1:8" ht="12.75" customHeight="1">
      <c r="A119" s="104"/>
      <c r="B119" s="104"/>
      <c r="C119" s="104"/>
      <c r="D119" s="104"/>
      <c r="E119" s="104"/>
      <c r="F119" s="104"/>
      <c r="G119" s="104"/>
      <c r="H119" s="104"/>
    </row>
    <row r="120" spans="1:8" ht="12.75" customHeight="1">
      <c r="A120" s="104"/>
      <c r="B120" s="104"/>
      <c r="C120" s="104"/>
      <c r="D120" s="104"/>
      <c r="E120" s="104"/>
      <c r="F120" s="104"/>
      <c r="G120" s="104"/>
      <c r="H120" s="104"/>
    </row>
    <row r="121" spans="1:8" ht="12.75" customHeight="1">
      <c r="A121" s="104"/>
      <c r="B121" s="104"/>
      <c r="C121" s="104"/>
      <c r="D121" s="104"/>
      <c r="E121" s="104"/>
      <c r="F121" s="104"/>
      <c r="G121" s="104"/>
      <c r="H121" s="104"/>
    </row>
    <row r="122" spans="1:8" ht="12.75" customHeight="1">
      <c r="A122" s="104"/>
      <c r="B122" s="104"/>
      <c r="C122" s="104"/>
      <c r="D122" s="104"/>
      <c r="E122" s="104"/>
      <c r="F122" s="104"/>
      <c r="G122" s="104"/>
      <c r="H122" s="104"/>
    </row>
    <row r="123" spans="1:8" ht="12.75" customHeight="1">
      <c r="A123" s="104"/>
      <c r="B123" s="104"/>
      <c r="C123" s="104"/>
      <c r="D123" s="104"/>
      <c r="E123" s="104"/>
      <c r="F123" s="104"/>
      <c r="G123" s="104"/>
      <c r="H123" s="104"/>
    </row>
    <row r="124" spans="1:8" ht="12.75" customHeight="1">
      <c r="A124" s="104"/>
      <c r="B124" s="104"/>
      <c r="C124" s="104"/>
      <c r="D124" s="104"/>
      <c r="E124" s="104"/>
      <c r="F124" s="104"/>
      <c r="G124" s="104"/>
      <c r="H124" s="104"/>
    </row>
    <row r="125" spans="1:8" ht="12.75" customHeight="1">
      <c r="A125" s="104"/>
      <c r="B125" s="104"/>
      <c r="C125" s="104"/>
      <c r="D125" s="104"/>
      <c r="E125" s="104"/>
      <c r="F125" s="104"/>
      <c r="G125" s="104"/>
      <c r="H125" s="104"/>
    </row>
    <row r="126" spans="1:8" ht="12.75" customHeight="1">
      <c r="A126" s="104"/>
      <c r="B126" s="104"/>
      <c r="C126" s="104"/>
      <c r="D126" s="104"/>
      <c r="E126" s="104"/>
      <c r="F126" s="104"/>
      <c r="G126" s="104"/>
      <c r="H126" s="104"/>
    </row>
    <row r="127" spans="1:8" ht="12.75" customHeight="1">
      <c r="A127" s="104"/>
      <c r="B127" s="104"/>
      <c r="C127" s="104"/>
      <c r="D127" s="104"/>
      <c r="E127" s="104"/>
      <c r="F127" s="104"/>
      <c r="G127" s="104"/>
      <c r="H127" s="104"/>
    </row>
    <row r="128" spans="1:8" ht="12.75" customHeight="1">
      <c r="A128" s="104"/>
      <c r="B128" s="104"/>
      <c r="C128" s="104"/>
      <c r="D128" s="104"/>
      <c r="E128" s="104"/>
      <c r="F128" s="104"/>
      <c r="G128" s="104"/>
      <c r="H128" s="104"/>
    </row>
    <row r="129" spans="1:8" ht="12.75" customHeight="1">
      <c r="A129" s="104"/>
      <c r="B129" s="104"/>
      <c r="C129" s="104"/>
      <c r="D129" s="104"/>
      <c r="E129" s="104"/>
      <c r="F129" s="104"/>
      <c r="G129" s="104"/>
      <c r="H129" s="104"/>
    </row>
    <row r="130" spans="1:8" ht="12.75" customHeight="1">
      <c r="A130" s="104"/>
      <c r="B130" s="104"/>
      <c r="C130" s="104"/>
      <c r="D130" s="104"/>
      <c r="E130" s="104"/>
      <c r="F130" s="104"/>
      <c r="G130" s="104"/>
      <c r="H130" s="104"/>
    </row>
    <row r="131" spans="1:8" ht="12.75" customHeight="1">
      <c r="A131" s="104"/>
      <c r="B131" s="104"/>
      <c r="C131" s="104"/>
      <c r="D131" s="104"/>
      <c r="E131" s="104"/>
      <c r="F131" s="104"/>
      <c r="G131" s="104"/>
      <c r="H131" s="104"/>
    </row>
    <row r="132" spans="1:8" ht="12.75" customHeight="1">
      <c r="A132" s="104"/>
      <c r="B132" s="104"/>
      <c r="C132" s="104"/>
      <c r="D132" s="104"/>
      <c r="E132" s="104"/>
      <c r="F132" s="104"/>
      <c r="G132" s="104"/>
      <c r="H132" s="104"/>
    </row>
    <row r="133" spans="1:8" ht="12.75" customHeight="1">
      <c r="A133" s="104"/>
      <c r="B133" s="104"/>
      <c r="C133" s="104"/>
      <c r="D133" s="104"/>
      <c r="E133" s="104"/>
      <c r="F133" s="104"/>
      <c r="G133" s="104"/>
      <c r="H133" s="104"/>
    </row>
    <row r="134" spans="1:8" ht="12.75" customHeight="1">
      <c r="A134" s="104"/>
      <c r="B134" s="104"/>
      <c r="C134" s="104"/>
      <c r="D134" s="104"/>
      <c r="E134" s="104"/>
      <c r="F134" s="104"/>
      <c r="G134" s="104"/>
      <c r="H134" s="104"/>
    </row>
    <row r="135" spans="1:8" ht="12.75" customHeight="1">
      <c r="A135" s="104"/>
      <c r="B135" s="104"/>
      <c r="C135" s="104"/>
      <c r="D135" s="104"/>
      <c r="E135" s="104"/>
      <c r="F135" s="104"/>
      <c r="G135" s="104"/>
      <c r="H135" s="104"/>
    </row>
    <row r="136" spans="1:8" ht="12.75" customHeight="1">
      <c r="A136" s="104"/>
      <c r="B136" s="104"/>
      <c r="C136" s="104"/>
      <c r="D136" s="104"/>
      <c r="E136" s="104"/>
      <c r="F136" s="104"/>
      <c r="G136" s="104"/>
      <c r="H136" s="104"/>
    </row>
    <row r="137" spans="1:8" ht="12.75" customHeight="1">
      <c r="A137" s="104"/>
      <c r="B137" s="104"/>
      <c r="C137" s="104"/>
      <c r="D137" s="104"/>
      <c r="E137" s="104"/>
      <c r="F137" s="104"/>
      <c r="G137" s="104"/>
      <c r="H137" s="104"/>
    </row>
    <row r="138" spans="1:8" ht="12.75" customHeight="1">
      <c r="A138" s="104"/>
      <c r="B138" s="104"/>
      <c r="C138" s="104"/>
      <c r="D138" s="104"/>
      <c r="E138" s="104"/>
      <c r="F138" s="104"/>
      <c r="G138" s="104"/>
      <c r="H138" s="104"/>
    </row>
    <row r="139" spans="1:8" ht="12.75" customHeight="1">
      <c r="A139" s="104"/>
      <c r="B139" s="104"/>
      <c r="C139" s="104"/>
      <c r="D139" s="104"/>
      <c r="E139" s="104"/>
      <c r="F139" s="104"/>
      <c r="G139" s="104"/>
      <c r="H139" s="104"/>
    </row>
    <row r="140" spans="1:8" ht="12.75" customHeight="1">
      <c r="A140" s="104"/>
      <c r="B140" s="104"/>
      <c r="C140" s="104"/>
      <c r="D140" s="104"/>
      <c r="E140" s="104"/>
      <c r="F140" s="104"/>
      <c r="G140" s="104"/>
      <c r="H140" s="104"/>
    </row>
    <row r="141" spans="1:8" ht="12.75" customHeight="1">
      <c r="A141" s="104"/>
      <c r="B141" s="104"/>
      <c r="C141" s="104"/>
      <c r="D141" s="104"/>
      <c r="E141" s="104"/>
      <c r="F141" s="104"/>
      <c r="G141" s="104"/>
      <c r="H141" s="104"/>
    </row>
    <row r="142" spans="1:8" ht="12.75" customHeight="1">
      <c r="A142" s="104"/>
      <c r="B142" s="104"/>
      <c r="C142" s="104"/>
      <c r="D142" s="104"/>
      <c r="E142" s="104"/>
      <c r="F142" s="104"/>
      <c r="G142" s="104"/>
      <c r="H142" s="104"/>
    </row>
    <row r="143" spans="1:8" ht="12.75" customHeight="1">
      <c r="A143" s="104"/>
      <c r="B143" s="104"/>
      <c r="C143" s="104"/>
      <c r="D143" s="104"/>
      <c r="E143" s="104"/>
      <c r="F143" s="104"/>
      <c r="G143" s="104"/>
      <c r="H143" s="104"/>
    </row>
    <row r="144" spans="1:8" ht="12.75" customHeight="1">
      <c r="A144" s="104"/>
      <c r="B144" s="104"/>
      <c r="C144" s="104"/>
      <c r="D144" s="104"/>
      <c r="E144" s="104"/>
      <c r="F144" s="104"/>
      <c r="G144" s="104"/>
      <c r="H144" s="104"/>
    </row>
    <row r="145" spans="1:8" ht="12.75" customHeight="1">
      <c r="A145" s="104"/>
      <c r="B145" s="104"/>
      <c r="C145" s="104"/>
      <c r="D145" s="104"/>
      <c r="E145" s="104"/>
      <c r="F145" s="104"/>
      <c r="G145" s="104"/>
      <c r="H145" s="104"/>
    </row>
    <row r="146" spans="1:8" ht="12.75" customHeight="1">
      <c r="A146" s="104"/>
      <c r="B146" s="104"/>
      <c r="C146" s="104"/>
      <c r="D146" s="104"/>
      <c r="E146" s="104"/>
      <c r="F146" s="104"/>
      <c r="G146" s="104"/>
      <c r="H146" s="104"/>
    </row>
    <row r="147" spans="1:8" ht="12.75" customHeight="1">
      <c r="A147" s="104"/>
      <c r="B147" s="104"/>
      <c r="C147" s="104"/>
      <c r="D147" s="104"/>
      <c r="E147" s="104"/>
      <c r="F147" s="104"/>
      <c r="G147" s="104"/>
      <c r="H147" s="104"/>
    </row>
    <row r="148" spans="1:8" ht="12.75" customHeight="1">
      <c r="A148" s="104"/>
      <c r="B148" s="104"/>
      <c r="C148" s="104"/>
      <c r="D148" s="104"/>
      <c r="E148" s="104"/>
      <c r="F148" s="104"/>
      <c r="G148" s="104"/>
      <c r="H148" s="104"/>
    </row>
    <row r="149" spans="1:8" ht="12.75" customHeight="1">
      <c r="A149" s="104"/>
      <c r="B149" s="104"/>
      <c r="C149" s="104"/>
      <c r="D149" s="104"/>
      <c r="E149" s="104"/>
      <c r="F149" s="104"/>
      <c r="G149" s="104"/>
      <c r="H149" s="104"/>
    </row>
    <row r="150" spans="1:8" ht="12.75" customHeight="1">
      <c r="A150" s="104"/>
      <c r="B150" s="104"/>
      <c r="C150" s="104"/>
      <c r="D150" s="104"/>
      <c r="E150" s="104"/>
      <c r="F150" s="104"/>
      <c r="G150" s="104"/>
      <c r="H150" s="104"/>
    </row>
    <row r="151" spans="1:8" ht="12.75" customHeight="1">
      <c r="A151" s="104"/>
      <c r="B151" s="104"/>
      <c r="C151" s="104"/>
      <c r="D151" s="104"/>
      <c r="E151" s="104"/>
      <c r="F151" s="104"/>
      <c r="G151" s="104"/>
      <c r="H151" s="104"/>
    </row>
    <row r="152" spans="1:8" ht="12.75" customHeight="1">
      <c r="A152" s="104"/>
      <c r="B152" s="104"/>
      <c r="C152" s="104"/>
      <c r="D152" s="104"/>
      <c r="E152" s="104"/>
      <c r="F152" s="104"/>
      <c r="G152" s="104"/>
      <c r="H152" s="104"/>
    </row>
    <row r="153" spans="1:8" ht="12.75" customHeight="1">
      <c r="A153" s="104"/>
      <c r="B153" s="104"/>
      <c r="C153" s="104"/>
      <c r="D153" s="104"/>
      <c r="E153" s="104"/>
      <c r="F153" s="104"/>
      <c r="G153" s="104"/>
      <c r="H153" s="104"/>
    </row>
    <row r="154" spans="1:8" ht="12.75" customHeight="1">
      <c r="A154" s="104"/>
      <c r="B154" s="104"/>
      <c r="C154" s="104"/>
      <c r="D154" s="104"/>
      <c r="E154" s="104"/>
      <c r="F154" s="104"/>
      <c r="G154" s="104"/>
      <c r="H154" s="104"/>
    </row>
    <row r="155" spans="1:8" ht="12.75" customHeight="1">
      <c r="A155" s="104"/>
      <c r="B155" s="104"/>
      <c r="C155" s="104"/>
      <c r="D155" s="104"/>
      <c r="E155" s="104"/>
      <c r="F155" s="104"/>
      <c r="G155" s="104"/>
      <c r="H155" s="104"/>
    </row>
    <row r="156" spans="1:8" ht="12.75" customHeight="1">
      <c r="A156" s="104"/>
      <c r="B156" s="104"/>
      <c r="C156" s="104"/>
      <c r="D156" s="104"/>
      <c r="E156" s="104"/>
      <c r="F156" s="104"/>
      <c r="G156" s="104"/>
      <c r="H156" s="104"/>
    </row>
    <row r="157" spans="1:8" ht="12.75" customHeight="1">
      <c r="A157" s="104"/>
      <c r="B157" s="104"/>
      <c r="C157" s="104"/>
      <c r="D157" s="104"/>
      <c r="E157" s="104"/>
      <c r="F157" s="104"/>
      <c r="G157" s="104"/>
      <c r="H157" s="104"/>
    </row>
    <row r="158" spans="1:8" ht="12.75" customHeight="1">
      <c r="A158" s="104"/>
      <c r="B158" s="104"/>
      <c r="C158" s="104"/>
      <c r="D158" s="104"/>
      <c r="E158" s="104"/>
      <c r="F158" s="104"/>
      <c r="G158" s="104"/>
      <c r="H158" s="104"/>
    </row>
    <row r="159" spans="1:8" ht="12.75" customHeight="1">
      <c r="A159" s="104"/>
      <c r="B159" s="104"/>
      <c r="C159" s="104"/>
      <c r="D159" s="104"/>
      <c r="E159" s="104"/>
      <c r="F159" s="104"/>
      <c r="G159" s="104"/>
      <c r="H159" s="104"/>
    </row>
    <row r="160" spans="1:8" ht="12.75" customHeight="1">
      <c r="A160" s="104"/>
      <c r="B160" s="104"/>
      <c r="C160" s="104"/>
      <c r="D160" s="104"/>
      <c r="E160" s="104"/>
      <c r="F160" s="104"/>
      <c r="G160" s="104"/>
      <c r="H160" s="104"/>
    </row>
    <row r="161" spans="1:8" ht="12.75" customHeight="1">
      <c r="A161" s="104"/>
      <c r="B161" s="104"/>
      <c r="C161" s="104"/>
      <c r="D161" s="104"/>
      <c r="E161" s="104"/>
      <c r="F161" s="104"/>
      <c r="G161" s="104"/>
      <c r="H161" s="104"/>
    </row>
    <row r="162" spans="1:8" ht="12.75" customHeight="1">
      <c r="A162" s="104"/>
      <c r="B162" s="104"/>
      <c r="C162" s="104"/>
      <c r="D162" s="104"/>
      <c r="E162" s="104"/>
      <c r="F162" s="104"/>
      <c r="G162" s="104"/>
      <c r="H162" s="104"/>
    </row>
    <row r="163" spans="1:8" ht="12.75" customHeight="1">
      <c r="A163" s="104"/>
      <c r="B163" s="104"/>
      <c r="C163" s="104"/>
      <c r="D163" s="104"/>
      <c r="E163" s="104"/>
      <c r="F163" s="104"/>
      <c r="G163" s="104"/>
      <c r="H163" s="104"/>
    </row>
    <row r="164" spans="1:8" ht="12.75" customHeight="1">
      <c r="A164" s="104"/>
      <c r="B164" s="104"/>
      <c r="C164" s="104"/>
      <c r="D164" s="104"/>
      <c r="E164" s="104"/>
      <c r="F164" s="104"/>
      <c r="G164" s="104"/>
      <c r="H164" s="104"/>
    </row>
    <row r="165" spans="1:8" ht="12.75" customHeight="1">
      <c r="A165" s="104"/>
      <c r="B165" s="104"/>
      <c r="C165" s="104"/>
      <c r="D165" s="104"/>
      <c r="E165" s="104"/>
      <c r="F165" s="104"/>
      <c r="G165" s="104"/>
      <c r="H165" s="104"/>
    </row>
    <row r="166" spans="1:8" ht="12.75" customHeight="1">
      <c r="A166" s="104"/>
      <c r="B166" s="104"/>
      <c r="C166" s="104"/>
      <c r="D166" s="104"/>
      <c r="E166" s="104"/>
      <c r="F166" s="104"/>
      <c r="G166" s="104"/>
      <c r="H166" s="104"/>
    </row>
    <row r="167" spans="1:8" ht="12.75" customHeight="1">
      <c r="A167" s="104"/>
      <c r="B167" s="104"/>
      <c r="C167" s="104"/>
      <c r="D167" s="104"/>
      <c r="E167" s="104"/>
      <c r="F167" s="104"/>
      <c r="G167" s="104"/>
      <c r="H167" s="104"/>
    </row>
    <row r="168" spans="1:8" ht="12.75" customHeight="1">
      <c r="A168" s="104"/>
      <c r="B168" s="104"/>
      <c r="C168" s="104"/>
      <c r="D168" s="104"/>
      <c r="E168" s="104"/>
      <c r="F168" s="104"/>
      <c r="G168" s="104"/>
      <c r="H168" s="104"/>
    </row>
    <row r="169" spans="1:8" ht="12.75" customHeight="1">
      <c r="A169" s="104"/>
      <c r="B169" s="104"/>
      <c r="C169" s="104"/>
      <c r="D169" s="104"/>
      <c r="E169" s="104"/>
      <c r="F169" s="104"/>
      <c r="G169" s="104"/>
      <c r="H169" s="104"/>
    </row>
    <row r="170" spans="1:8" ht="12.75" customHeight="1">
      <c r="A170" s="104"/>
      <c r="B170" s="104"/>
      <c r="C170" s="104"/>
      <c r="D170" s="104"/>
      <c r="E170" s="104"/>
      <c r="F170" s="104"/>
      <c r="G170" s="104"/>
      <c r="H170" s="104"/>
    </row>
    <row r="171" spans="1:8" ht="12.75" customHeight="1">
      <c r="A171" s="104"/>
      <c r="B171" s="104"/>
      <c r="C171" s="104"/>
      <c r="D171" s="104"/>
      <c r="E171" s="104"/>
      <c r="F171" s="104"/>
      <c r="G171" s="104"/>
      <c r="H171" s="104"/>
    </row>
    <row r="172" spans="1:8" ht="12.75" customHeight="1">
      <c r="A172" s="104"/>
      <c r="B172" s="104"/>
      <c r="C172" s="104"/>
      <c r="D172" s="104"/>
      <c r="E172" s="104"/>
      <c r="F172" s="104"/>
      <c r="G172" s="104"/>
      <c r="H172" s="104"/>
    </row>
    <row r="173" spans="1:8" ht="12.75" customHeight="1">
      <c r="A173" s="104"/>
      <c r="B173" s="104"/>
      <c r="C173" s="104"/>
      <c r="D173" s="104"/>
      <c r="E173" s="104"/>
      <c r="F173" s="104"/>
      <c r="G173" s="104"/>
      <c r="H173" s="104"/>
    </row>
    <row r="174" spans="1:8" ht="12.75" customHeight="1">
      <c r="A174" s="104"/>
      <c r="B174" s="104"/>
      <c r="C174" s="104"/>
      <c r="D174" s="104"/>
      <c r="E174" s="104"/>
      <c r="F174" s="104"/>
      <c r="G174" s="104"/>
      <c r="H174" s="104"/>
    </row>
    <row r="175" spans="1:8" ht="12.75" customHeight="1">
      <c r="A175" s="104"/>
      <c r="B175" s="104"/>
      <c r="C175" s="104"/>
      <c r="D175" s="104"/>
      <c r="E175" s="104"/>
      <c r="F175" s="104"/>
      <c r="G175" s="104"/>
      <c r="H175" s="104"/>
    </row>
    <row r="176" spans="1:8" ht="12.75" customHeight="1">
      <c r="A176" s="104"/>
      <c r="B176" s="104"/>
      <c r="C176" s="104"/>
      <c r="D176" s="104"/>
      <c r="E176" s="104"/>
      <c r="F176" s="104"/>
      <c r="G176" s="104"/>
      <c r="H176" s="104"/>
    </row>
    <row r="177" spans="1:8" ht="12.75" customHeight="1">
      <c r="A177" s="104"/>
      <c r="B177" s="104"/>
      <c r="C177" s="104"/>
      <c r="D177" s="104"/>
      <c r="E177" s="104"/>
      <c r="F177" s="104"/>
      <c r="G177" s="104"/>
      <c r="H177" s="104"/>
    </row>
    <row r="178" spans="1:8" ht="12.75" customHeight="1">
      <c r="A178" s="104"/>
      <c r="B178" s="104"/>
      <c r="C178" s="104"/>
      <c r="D178" s="104"/>
      <c r="E178" s="104"/>
      <c r="F178" s="104"/>
      <c r="G178" s="104"/>
      <c r="H178" s="104"/>
    </row>
    <row r="179" spans="1:8" ht="12.75" customHeight="1">
      <c r="A179" s="104"/>
      <c r="B179" s="104"/>
      <c r="C179" s="104"/>
      <c r="D179" s="104"/>
      <c r="E179" s="104"/>
      <c r="F179" s="104"/>
      <c r="G179" s="104"/>
      <c r="H179" s="104"/>
    </row>
    <row r="180" spans="1:8" ht="12.75" customHeight="1">
      <c r="A180" s="104"/>
      <c r="B180" s="104"/>
      <c r="C180" s="104"/>
      <c r="D180" s="104"/>
      <c r="E180" s="104"/>
      <c r="F180" s="104"/>
      <c r="G180" s="104"/>
      <c r="H180" s="104"/>
    </row>
    <row r="181" spans="1:8" ht="12.75" customHeight="1">
      <c r="A181" s="104"/>
      <c r="B181" s="104"/>
      <c r="C181" s="104"/>
      <c r="D181" s="104"/>
      <c r="E181" s="104"/>
      <c r="F181" s="104"/>
      <c r="G181" s="104"/>
      <c r="H181" s="104"/>
    </row>
    <row r="182" spans="1:8" ht="12.75" customHeight="1">
      <c r="A182" s="104"/>
      <c r="B182" s="104"/>
      <c r="C182" s="104"/>
      <c r="D182" s="104"/>
      <c r="E182" s="104"/>
      <c r="F182" s="104"/>
      <c r="G182" s="104"/>
      <c r="H182" s="104"/>
    </row>
    <row r="183" spans="1:8" ht="12.75" customHeight="1">
      <c r="A183" s="104"/>
      <c r="B183" s="104"/>
      <c r="C183" s="104"/>
      <c r="D183" s="104"/>
      <c r="E183" s="104"/>
      <c r="F183" s="104"/>
      <c r="G183" s="104"/>
      <c r="H183" s="104"/>
    </row>
    <row r="184" spans="1:8" ht="12.75" customHeight="1">
      <c r="A184" s="104"/>
      <c r="B184" s="104"/>
      <c r="C184" s="104"/>
      <c r="D184" s="104"/>
      <c r="E184" s="104"/>
      <c r="F184" s="104"/>
      <c r="G184" s="104"/>
      <c r="H184" s="104"/>
    </row>
    <row r="185" spans="1:8" ht="12.75" customHeight="1">
      <c r="A185" s="104"/>
      <c r="B185" s="104"/>
      <c r="C185" s="104"/>
      <c r="D185" s="104"/>
      <c r="E185" s="104"/>
      <c r="F185" s="104"/>
      <c r="G185" s="104"/>
      <c r="H185" s="104"/>
    </row>
    <row r="186" spans="1:8" ht="12.75" customHeight="1">
      <c r="A186" s="104"/>
      <c r="B186" s="104"/>
      <c r="C186" s="104"/>
      <c r="D186" s="104"/>
      <c r="E186" s="104"/>
      <c r="F186" s="104"/>
      <c r="G186" s="104"/>
      <c r="H186" s="104"/>
    </row>
    <row r="187" spans="1:8" ht="12.75" customHeight="1">
      <c r="A187" s="104"/>
      <c r="B187" s="104"/>
      <c r="C187" s="104"/>
      <c r="D187" s="104"/>
      <c r="E187" s="104"/>
      <c r="F187" s="104"/>
      <c r="G187" s="104"/>
      <c r="H187" s="104"/>
    </row>
    <row r="188" spans="1:8" ht="12.75" customHeight="1">
      <c r="A188" s="104"/>
      <c r="B188" s="104"/>
      <c r="C188" s="104"/>
      <c r="D188" s="104"/>
      <c r="E188" s="104"/>
      <c r="F188" s="104"/>
      <c r="G188" s="104"/>
      <c r="H188" s="104"/>
    </row>
    <row r="189" spans="1:8" ht="12.75" customHeight="1">
      <c r="A189" s="104"/>
      <c r="B189" s="104"/>
      <c r="C189" s="104"/>
      <c r="D189" s="104"/>
      <c r="E189" s="104"/>
      <c r="F189" s="104"/>
      <c r="G189" s="104"/>
      <c r="H189" s="104"/>
    </row>
    <row r="190" spans="1:8" ht="12.75" customHeight="1">
      <c r="A190" s="104"/>
      <c r="B190" s="104"/>
      <c r="C190" s="104"/>
      <c r="D190" s="104"/>
      <c r="E190" s="104"/>
      <c r="F190" s="104"/>
      <c r="G190" s="104"/>
      <c r="H190" s="104"/>
    </row>
    <row r="191" spans="1:8" ht="12.75" customHeight="1">
      <c r="A191" s="104"/>
      <c r="B191" s="104"/>
      <c r="C191" s="104"/>
      <c r="D191" s="104"/>
      <c r="E191" s="104"/>
      <c r="F191" s="104"/>
      <c r="G191" s="104"/>
      <c r="H191" s="104"/>
    </row>
    <row r="192" spans="1:8" ht="12.75" customHeight="1">
      <c r="A192" s="104"/>
      <c r="B192" s="104"/>
      <c r="C192" s="104"/>
      <c r="D192" s="104"/>
      <c r="E192" s="104"/>
      <c r="F192" s="104"/>
      <c r="G192" s="104"/>
      <c r="H192" s="104"/>
    </row>
    <row r="193" spans="1:8" ht="12.75" customHeight="1">
      <c r="A193" s="104"/>
      <c r="B193" s="104"/>
      <c r="C193" s="104"/>
      <c r="D193" s="104"/>
      <c r="E193" s="104"/>
      <c r="F193" s="104"/>
      <c r="G193" s="104"/>
      <c r="H193" s="104"/>
    </row>
    <row r="194" spans="1:8" ht="12.75" customHeight="1">
      <c r="A194" s="104"/>
      <c r="B194" s="104"/>
      <c r="C194" s="104"/>
      <c r="D194" s="104"/>
      <c r="E194" s="104"/>
      <c r="F194" s="104"/>
      <c r="G194" s="104"/>
      <c r="H194" s="104"/>
    </row>
    <row r="195" spans="1:8" ht="12.75" customHeight="1">
      <c r="A195" s="104"/>
      <c r="B195" s="104"/>
      <c r="C195" s="104"/>
      <c r="D195" s="104"/>
      <c r="E195" s="104"/>
      <c r="F195" s="104"/>
      <c r="G195" s="104"/>
      <c r="H195" s="104"/>
    </row>
    <row r="196" spans="1:8" ht="12.75" customHeight="1">
      <c r="A196" s="104"/>
      <c r="B196" s="104"/>
      <c r="C196" s="104"/>
      <c r="D196" s="104"/>
      <c r="E196" s="104"/>
      <c r="F196" s="104"/>
      <c r="G196" s="104"/>
      <c r="H196" s="104"/>
    </row>
    <row r="197" spans="1:8" ht="12.75" customHeight="1">
      <c r="A197" s="104"/>
      <c r="B197" s="104"/>
      <c r="C197" s="104"/>
      <c r="D197" s="104"/>
      <c r="E197" s="104"/>
      <c r="F197" s="104"/>
      <c r="G197" s="104"/>
      <c r="H197" s="104"/>
    </row>
    <row r="198" spans="1:8" ht="12.75" customHeight="1">
      <c r="A198" s="104"/>
      <c r="B198" s="104"/>
      <c r="C198" s="104"/>
      <c r="D198" s="104"/>
      <c r="E198" s="104"/>
      <c r="F198" s="104"/>
      <c r="G198" s="104"/>
      <c r="H198" s="104"/>
    </row>
    <row r="199" spans="1:8" ht="12.75" customHeight="1">
      <c r="A199" s="104"/>
      <c r="B199" s="104"/>
      <c r="C199" s="104"/>
      <c r="D199" s="104"/>
      <c r="E199" s="104"/>
      <c r="F199" s="104"/>
      <c r="G199" s="104"/>
      <c r="H199" s="104"/>
    </row>
    <row r="200" spans="1:8" ht="12.75" customHeight="1">
      <c r="A200" s="104"/>
      <c r="B200" s="104"/>
      <c r="C200" s="104"/>
      <c r="D200" s="104"/>
      <c r="E200" s="104"/>
      <c r="F200" s="104"/>
      <c r="G200" s="104"/>
      <c r="H200" s="104"/>
    </row>
    <row r="201" spans="1:8" ht="12.75" customHeight="1">
      <c r="A201" s="104"/>
      <c r="B201" s="104"/>
      <c r="C201" s="104"/>
      <c r="D201" s="104"/>
      <c r="E201" s="104"/>
      <c r="F201" s="104"/>
      <c r="G201" s="104"/>
      <c r="H201" s="104"/>
    </row>
    <row r="202" spans="1:8" ht="12.75" customHeight="1">
      <c r="A202" s="104"/>
      <c r="B202" s="104"/>
      <c r="C202" s="104"/>
      <c r="D202" s="104"/>
      <c r="E202" s="104"/>
      <c r="F202" s="104"/>
      <c r="G202" s="104"/>
      <c r="H202" s="104"/>
    </row>
    <row r="203" spans="1:8" ht="12.75" customHeight="1">
      <c r="A203" s="104"/>
      <c r="B203" s="104"/>
      <c r="C203" s="104"/>
      <c r="D203" s="104"/>
      <c r="E203" s="104"/>
      <c r="F203" s="104"/>
      <c r="G203" s="104"/>
      <c r="H203" s="104"/>
    </row>
    <row r="204" spans="1:8" ht="12.75" customHeight="1">
      <c r="A204" s="104"/>
      <c r="B204" s="104"/>
      <c r="C204" s="104"/>
      <c r="D204" s="104"/>
      <c r="E204" s="104"/>
      <c r="F204" s="104"/>
      <c r="G204" s="104"/>
      <c r="H204" s="104"/>
    </row>
    <row r="205" spans="1:8" ht="12.75" customHeight="1">
      <c r="A205" s="104"/>
      <c r="B205" s="104"/>
      <c r="C205" s="104"/>
      <c r="D205" s="104"/>
      <c r="E205" s="104"/>
      <c r="F205" s="104"/>
      <c r="G205" s="104"/>
      <c r="H205" s="104"/>
    </row>
    <row r="206" spans="1:8" ht="12.75" customHeight="1">
      <c r="A206" s="104"/>
      <c r="B206" s="104"/>
      <c r="C206" s="104"/>
      <c r="D206" s="104"/>
      <c r="E206" s="104"/>
      <c r="F206" s="104"/>
      <c r="G206" s="104"/>
      <c r="H206" s="104"/>
    </row>
    <row r="207" spans="1:8" ht="12.75" customHeight="1">
      <c r="A207" s="104"/>
      <c r="B207" s="104"/>
      <c r="C207" s="104"/>
      <c r="D207" s="104"/>
      <c r="E207" s="104"/>
      <c r="F207" s="104"/>
      <c r="G207" s="104"/>
      <c r="H207" s="104"/>
    </row>
    <row r="208" spans="1:8" ht="12.75" customHeight="1">
      <c r="A208" s="104"/>
      <c r="B208" s="104"/>
      <c r="C208" s="104"/>
      <c r="D208" s="104"/>
      <c r="E208" s="104"/>
      <c r="F208" s="104"/>
      <c r="G208" s="104"/>
      <c r="H208" s="104"/>
    </row>
    <row r="209" spans="1:8" ht="12.75" customHeight="1">
      <c r="A209" s="104"/>
      <c r="B209" s="104"/>
      <c r="C209" s="104"/>
      <c r="D209" s="104"/>
      <c r="E209" s="104"/>
      <c r="F209" s="104"/>
      <c r="G209" s="104"/>
      <c r="H209" s="104"/>
    </row>
    <row r="210" spans="1:8" ht="12.75" customHeight="1">
      <c r="A210" s="104"/>
      <c r="B210" s="104"/>
      <c r="C210" s="104"/>
      <c r="D210" s="104"/>
      <c r="E210" s="104"/>
      <c r="F210" s="104"/>
      <c r="G210" s="104"/>
      <c r="H210" s="104"/>
    </row>
    <row r="211" spans="1:8" ht="12.75" customHeight="1">
      <c r="A211" s="104"/>
      <c r="B211" s="104"/>
      <c r="C211" s="104"/>
      <c r="D211" s="104"/>
      <c r="E211" s="104"/>
      <c r="F211" s="104"/>
      <c r="G211" s="104"/>
      <c r="H211" s="104"/>
    </row>
    <row r="212" spans="1:8" ht="12.75" customHeight="1">
      <c r="A212" s="104"/>
      <c r="B212" s="104"/>
      <c r="C212" s="104"/>
      <c r="D212" s="104"/>
      <c r="E212" s="104"/>
      <c r="F212" s="104"/>
      <c r="G212" s="104"/>
      <c r="H212" s="104"/>
    </row>
    <row r="213" spans="1:8" ht="12.75" customHeight="1">
      <c r="A213" s="104"/>
      <c r="B213" s="104"/>
      <c r="C213" s="104"/>
      <c r="D213" s="104"/>
      <c r="E213" s="104"/>
      <c r="F213" s="104"/>
      <c r="G213" s="104"/>
      <c r="H213" s="104"/>
    </row>
    <row r="214" spans="1:8" ht="12.75" customHeight="1">
      <c r="A214" s="104"/>
      <c r="B214" s="104"/>
      <c r="C214" s="104"/>
      <c r="D214" s="104"/>
      <c r="E214" s="104"/>
      <c r="F214" s="104"/>
      <c r="G214" s="104"/>
      <c r="H214" s="104"/>
    </row>
    <row r="215" spans="1:8" ht="12.75" customHeight="1">
      <c r="A215" s="104"/>
      <c r="B215" s="104"/>
      <c r="C215" s="104"/>
      <c r="D215" s="104"/>
      <c r="E215" s="104"/>
      <c r="F215" s="104"/>
      <c r="G215" s="104"/>
      <c r="H215" s="104"/>
    </row>
    <row r="216" spans="1:8" ht="12.75" customHeight="1">
      <c r="A216" s="104"/>
      <c r="B216" s="104"/>
      <c r="C216" s="104"/>
      <c r="D216" s="104"/>
      <c r="E216" s="104"/>
      <c r="F216" s="104"/>
      <c r="G216" s="104"/>
      <c r="H216" s="104"/>
    </row>
    <row r="217" spans="1:8" ht="12.75" customHeight="1">
      <c r="A217" s="104"/>
      <c r="B217" s="104"/>
      <c r="C217" s="104"/>
      <c r="D217" s="104"/>
      <c r="E217" s="104"/>
      <c r="F217" s="104"/>
      <c r="G217" s="104"/>
      <c r="H217" s="104"/>
    </row>
    <row r="218" spans="1:8" ht="12.75" customHeight="1">
      <c r="A218" s="104"/>
      <c r="B218" s="104"/>
      <c r="C218" s="104"/>
      <c r="D218" s="104"/>
      <c r="E218" s="104"/>
      <c r="F218" s="104"/>
      <c r="G218" s="104"/>
      <c r="H218" s="104"/>
    </row>
    <row r="219" spans="1:8" ht="12.75" customHeight="1">
      <c r="A219" s="104"/>
      <c r="B219" s="104"/>
      <c r="C219" s="104"/>
      <c r="D219" s="104"/>
      <c r="E219" s="104"/>
      <c r="F219" s="104"/>
      <c r="G219" s="104"/>
      <c r="H219" s="104"/>
    </row>
    <row r="220" spans="1:8" ht="12.75" customHeight="1">
      <c r="A220" s="104"/>
      <c r="B220" s="104"/>
      <c r="C220" s="104"/>
      <c r="D220" s="104"/>
      <c r="E220" s="104"/>
      <c r="F220" s="104"/>
      <c r="G220" s="104"/>
      <c r="H220" s="104"/>
    </row>
    <row r="221" spans="1:8" ht="12.75" customHeight="1">
      <c r="A221" s="104"/>
      <c r="B221" s="104"/>
      <c r="C221" s="104"/>
      <c r="D221" s="104"/>
      <c r="E221" s="104"/>
      <c r="F221" s="104"/>
      <c r="G221" s="104"/>
      <c r="H221" s="104"/>
    </row>
    <row r="222" spans="1:8" ht="12.75" customHeight="1">
      <c r="A222" s="104"/>
      <c r="B222" s="104"/>
      <c r="C222" s="104"/>
      <c r="D222" s="104"/>
      <c r="E222" s="104"/>
      <c r="F222" s="104"/>
      <c r="G222" s="104"/>
      <c r="H222" s="104"/>
    </row>
    <row r="223" spans="1:8" ht="12.75" customHeight="1">
      <c r="A223" s="104"/>
      <c r="B223" s="104"/>
      <c r="C223" s="104"/>
      <c r="D223" s="104"/>
      <c r="E223" s="104"/>
      <c r="F223" s="104"/>
      <c r="G223" s="104"/>
      <c r="H223" s="104"/>
    </row>
    <row r="224" spans="1:8" ht="12.75" customHeight="1">
      <c r="A224" s="104"/>
      <c r="B224" s="104"/>
      <c r="C224" s="104"/>
      <c r="D224" s="104"/>
      <c r="E224" s="104"/>
      <c r="F224" s="104"/>
      <c r="G224" s="104"/>
      <c r="H224" s="104"/>
    </row>
    <row r="225" spans="1:8" ht="12.75" customHeight="1">
      <c r="A225" s="104"/>
      <c r="B225" s="104"/>
      <c r="C225" s="104"/>
      <c r="D225" s="104"/>
      <c r="E225" s="104"/>
      <c r="F225" s="104"/>
      <c r="G225" s="104"/>
      <c r="H225" s="104"/>
    </row>
    <row r="226" spans="1:8" ht="12.75" customHeight="1">
      <c r="A226" s="104"/>
      <c r="B226" s="104"/>
      <c r="C226" s="104"/>
      <c r="D226" s="104"/>
      <c r="E226" s="104"/>
      <c r="F226" s="104"/>
      <c r="G226" s="104"/>
      <c r="H226" s="104"/>
    </row>
    <row r="227" spans="1:8" ht="12.75" customHeight="1">
      <c r="A227" s="104"/>
      <c r="B227" s="104"/>
      <c r="C227" s="104"/>
      <c r="D227" s="104"/>
      <c r="E227" s="104"/>
      <c r="F227" s="104"/>
      <c r="G227" s="104"/>
      <c r="H227" s="104"/>
    </row>
    <row r="228" spans="1:8" ht="12.75" customHeight="1">
      <c r="A228" s="104"/>
      <c r="B228" s="104"/>
      <c r="C228" s="104"/>
      <c r="D228" s="104"/>
      <c r="E228" s="104"/>
      <c r="F228" s="104"/>
      <c r="G228" s="104"/>
      <c r="H228" s="104"/>
    </row>
    <row r="229" spans="1:8" ht="12.75" customHeight="1">
      <c r="A229" s="104"/>
      <c r="B229" s="104"/>
      <c r="C229" s="104"/>
      <c r="D229" s="104"/>
      <c r="E229" s="104"/>
      <c r="F229" s="104"/>
      <c r="G229" s="104"/>
      <c r="H229" s="104"/>
    </row>
    <row r="230" spans="1:8" ht="12.75" customHeight="1">
      <c r="A230" s="104"/>
      <c r="B230" s="104"/>
      <c r="C230" s="104"/>
      <c r="D230" s="104"/>
      <c r="E230" s="104"/>
      <c r="F230" s="104"/>
      <c r="G230" s="104"/>
      <c r="H230" s="104"/>
    </row>
    <row r="231" spans="1:8" ht="12.75" customHeight="1">
      <c r="A231" s="104"/>
      <c r="B231" s="104"/>
      <c r="C231" s="104"/>
      <c r="D231" s="104"/>
      <c r="E231" s="104"/>
      <c r="F231" s="104"/>
      <c r="G231" s="104"/>
      <c r="H231" s="104"/>
    </row>
    <row r="232" spans="1:8" ht="12.75" customHeight="1">
      <c r="A232" s="104"/>
      <c r="B232" s="104"/>
      <c r="C232" s="104"/>
      <c r="D232" s="104"/>
      <c r="E232" s="104"/>
      <c r="F232" s="104"/>
      <c r="G232" s="104"/>
      <c r="H232" s="104"/>
    </row>
    <row r="233" spans="1:8" ht="12.75" customHeight="1">
      <c r="A233" s="104"/>
      <c r="B233" s="104"/>
      <c r="C233" s="104"/>
      <c r="D233" s="104"/>
      <c r="E233" s="104"/>
      <c r="F233" s="104"/>
      <c r="G233" s="104"/>
      <c r="H233" s="104"/>
    </row>
    <row r="234" spans="1:8" ht="12.75" customHeight="1">
      <c r="A234" s="104"/>
      <c r="B234" s="104"/>
      <c r="C234" s="104"/>
      <c r="D234" s="104"/>
      <c r="E234" s="104"/>
      <c r="F234" s="104"/>
      <c r="G234" s="104"/>
      <c r="H234" s="104"/>
    </row>
    <row r="235" spans="1:8" ht="12.75" customHeight="1">
      <c r="A235" s="104"/>
      <c r="B235" s="104"/>
      <c r="C235" s="104"/>
      <c r="D235" s="104"/>
      <c r="E235" s="104"/>
      <c r="F235" s="104"/>
      <c r="G235" s="104"/>
      <c r="H235" s="104"/>
    </row>
    <row r="236" spans="1:8" ht="12.75" customHeight="1">
      <c r="A236" s="104"/>
      <c r="B236" s="104"/>
      <c r="C236" s="104"/>
      <c r="D236" s="104"/>
      <c r="E236" s="104"/>
      <c r="F236" s="104"/>
      <c r="G236" s="104"/>
      <c r="H236" s="104"/>
    </row>
    <row r="237" spans="1:8" ht="12.75" customHeight="1">
      <c r="A237" s="104"/>
      <c r="B237" s="104"/>
      <c r="C237" s="104"/>
      <c r="D237" s="104"/>
      <c r="E237" s="104"/>
      <c r="F237" s="104"/>
      <c r="G237" s="104"/>
      <c r="H237" s="104"/>
    </row>
    <row r="238" spans="1:8" ht="12.75" customHeight="1">
      <c r="A238" s="104"/>
      <c r="B238" s="104"/>
      <c r="C238" s="104"/>
      <c r="D238" s="104"/>
      <c r="E238" s="104"/>
      <c r="F238" s="104"/>
      <c r="G238" s="104"/>
      <c r="H238" s="104"/>
    </row>
    <row r="239" spans="1:8" ht="12.75" customHeight="1">
      <c r="A239" s="104"/>
      <c r="B239" s="104"/>
      <c r="C239" s="104"/>
      <c r="D239" s="104"/>
      <c r="E239" s="104"/>
      <c r="F239" s="104"/>
      <c r="G239" s="104"/>
      <c r="H239" s="104"/>
    </row>
    <row r="240" spans="1:8" ht="12.75" customHeight="1">
      <c r="A240" s="104"/>
      <c r="B240" s="104"/>
      <c r="C240" s="104"/>
      <c r="D240" s="104"/>
      <c r="E240" s="104"/>
      <c r="F240" s="104"/>
      <c r="G240" s="104"/>
      <c r="H240" s="104"/>
    </row>
    <row r="241" spans="1:8" ht="12.75" customHeight="1">
      <c r="A241" s="104"/>
      <c r="B241" s="104"/>
      <c r="C241" s="104"/>
      <c r="D241" s="104"/>
      <c r="E241" s="104"/>
      <c r="F241" s="104"/>
      <c r="G241" s="104"/>
      <c r="H241" s="104"/>
    </row>
    <row r="242" spans="1:8" ht="12.75" customHeight="1">
      <c r="A242" s="104"/>
      <c r="B242" s="104"/>
      <c r="C242" s="104"/>
      <c r="D242" s="104"/>
      <c r="E242" s="104"/>
      <c r="F242" s="104"/>
      <c r="G242" s="104"/>
      <c r="H242" s="104"/>
    </row>
    <row r="243" spans="1:8" ht="12.75" customHeight="1">
      <c r="A243" s="104"/>
      <c r="B243" s="104"/>
      <c r="C243" s="104"/>
      <c r="D243" s="104"/>
      <c r="E243" s="104"/>
      <c r="F243" s="104"/>
      <c r="G243" s="104"/>
      <c r="H243" s="104"/>
    </row>
    <row r="244" spans="1:8" ht="12.75" customHeight="1">
      <c r="A244" s="104"/>
      <c r="B244" s="104"/>
      <c r="C244" s="104"/>
      <c r="D244" s="104"/>
      <c r="E244" s="104"/>
      <c r="F244" s="104"/>
      <c r="G244" s="104"/>
      <c r="H244" s="104"/>
    </row>
    <row r="245" spans="1:8" ht="12.75" customHeight="1">
      <c r="A245" s="104"/>
      <c r="B245" s="104"/>
      <c r="C245" s="104"/>
      <c r="D245" s="104"/>
      <c r="E245" s="104"/>
      <c r="F245" s="104"/>
      <c r="G245" s="104"/>
      <c r="H245" s="104"/>
    </row>
    <row r="246" spans="1:8" ht="12.75" customHeight="1">
      <c r="A246" s="104"/>
      <c r="B246" s="104"/>
      <c r="C246" s="104"/>
      <c r="D246" s="104"/>
      <c r="E246" s="104"/>
      <c r="F246" s="104"/>
      <c r="G246" s="104"/>
      <c r="H246" s="104"/>
    </row>
    <row r="247" spans="1:8" ht="12.75" customHeight="1">
      <c r="A247" s="104"/>
      <c r="B247" s="104"/>
      <c r="C247" s="104"/>
      <c r="D247" s="104"/>
      <c r="E247" s="104"/>
      <c r="F247" s="104"/>
      <c r="G247" s="104"/>
      <c r="H247" s="104"/>
    </row>
    <row r="248" spans="1:8" ht="12.75" customHeight="1">
      <c r="A248" s="104"/>
      <c r="B248" s="104"/>
      <c r="C248" s="104"/>
      <c r="D248" s="104"/>
      <c r="E248" s="104"/>
      <c r="F248" s="104"/>
      <c r="G248" s="104"/>
      <c r="H248" s="104"/>
    </row>
    <row r="249" spans="1:8" ht="12.75" customHeight="1">
      <c r="A249" s="104"/>
      <c r="B249" s="104"/>
      <c r="C249" s="104"/>
      <c r="D249" s="104"/>
      <c r="E249" s="104"/>
      <c r="F249" s="104"/>
      <c r="G249" s="104"/>
      <c r="H249" s="104"/>
    </row>
    <row r="250" spans="1:8" ht="12.75" customHeight="1">
      <c r="A250" s="104"/>
      <c r="B250" s="104"/>
      <c r="C250" s="104"/>
      <c r="D250" s="104"/>
      <c r="E250" s="104"/>
      <c r="F250" s="104"/>
      <c r="G250" s="104"/>
      <c r="H250" s="104"/>
    </row>
    <row r="251" spans="1:8" ht="12.75" customHeight="1">
      <c r="A251" s="104"/>
      <c r="B251" s="104"/>
      <c r="C251" s="104"/>
      <c r="D251" s="104"/>
      <c r="E251" s="104"/>
      <c r="F251" s="104"/>
      <c r="G251" s="104"/>
      <c r="H251" s="104"/>
    </row>
    <row r="252" spans="1:8" ht="12.75" customHeight="1">
      <c r="A252" s="104"/>
      <c r="B252" s="104"/>
      <c r="C252" s="104"/>
      <c r="D252" s="104"/>
      <c r="E252" s="104"/>
      <c r="F252" s="104"/>
      <c r="G252" s="104"/>
      <c r="H252" s="104"/>
    </row>
    <row r="253" spans="1:8" ht="12.75" customHeight="1">
      <c r="A253" s="104"/>
      <c r="B253" s="104"/>
      <c r="C253" s="104"/>
      <c r="D253" s="104"/>
      <c r="E253" s="104"/>
      <c r="F253" s="104"/>
      <c r="G253" s="104"/>
      <c r="H253" s="104"/>
    </row>
    <row r="254" spans="1:8" ht="12.75" customHeight="1">
      <c r="A254" s="104"/>
      <c r="B254" s="104"/>
      <c r="C254" s="104"/>
      <c r="D254" s="104"/>
      <c r="E254" s="104"/>
      <c r="F254" s="104"/>
      <c r="G254" s="104"/>
      <c r="H254" s="104"/>
    </row>
    <row r="255" spans="1:8" ht="12.75" customHeight="1">
      <c r="A255" s="104"/>
      <c r="B255" s="104"/>
      <c r="C255" s="104"/>
      <c r="D255" s="104"/>
      <c r="E255" s="104"/>
      <c r="F255" s="104"/>
      <c r="G255" s="104"/>
      <c r="H255" s="104"/>
    </row>
    <row r="256" spans="1:8" ht="12.75" customHeight="1">
      <c r="A256" s="104"/>
      <c r="B256" s="104"/>
      <c r="C256" s="104"/>
      <c r="D256" s="104"/>
      <c r="E256" s="104"/>
      <c r="F256" s="104"/>
      <c r="G256" s="104"/>
      <c r="H256" s="104"/>
    </row>
    <row r="257" spans="1:8" ht="12.75" customHeight="1">
      <c r="A257" s="104"/>
      <c r="B257" s="104"/>
      <c r="C257" s="104"/>
      <c r="D257" s="104"/>
      <c r="E257" s="104"/>
      <c r="F257" s="104"/>
      <c r="G257" s="104"/>
      <c r="H257" s="104"/>
    </row>
    <row r="258" spans="1:8" ht="12.75" customHeight="1">
      <c r="A258" s="104"/>
      <c r="B258" s="104"/>
      <c r="C258" s="104"/>
      <c r="D258" s="104"/>
      <c r="E258" s="104"/>
      <c r="F258" s="104"/>
      <c r="G258" s="104"/>
      <c r="H258" s="104"/>
    </row>
    <row r="259" spans="1:8" ht="12.75" customHeight="1">
      <c r="A259" s="104"/>
      <c r="B259" s="104"/>
      <c r="C259" s="104"/>
      <c r="D259" s="104"/>
      <c r="E259" s="104"/>
      <c r="F259" s="104"/>
      <c r="G259" s="104"/>
      <c r="H259" s="104"/>
    </row>
    <row r="260" spans="1:8" ht="12.75" customHeight="1">
      <c r="A260" s="104"/>
      <c r="B260" s="104"/>
      <c r="C260" s="104"/>
      <c r="D260" s="104"/>
      <c r="E260" s="104"/>
      <c r="F260" s="104"/>
      <c r="G260" s="104"/>
      <c r="H260" s="104"/>
    </row>
    <row r="261" spans="1:8" ht="12.75" customHeight="1">
      <c r="A261" s="104"/>
      <c r="B261" s="104"/>
      <c r="C261" s="104"/>
      <c r="D261" s="104"/>
      <c r="E261" s="104"/>
      <c r="F261" s="104"/>
      <c r="G261" s="104"/>
      <c r="H261" s="104"/>
    </row>
    <row r="262" spans="1:8" ht="12.75" customHeight="1">
      <c r="A262" s="104"/>
      <c r="B262" s="104"/>
      <c r="C262" s="104"/>
      <c r="D262" s="104"/>
      <c r="E262" s="104"/>
      <c r="F262" s="104"/>
      <c r="G262" s="104"/>
      <c r="H262" s="104"/>
    </row>
    <row r="263" spans="1:8" ht="12.75" customHeight="1">
      <c r="A263" s="104"/>
      <c r="B263" s="104"/>
      <c r="C263" s="104"/>
      <c r="D263" s="104"/>
      <c r="E263" s="104"/>
      <c r="F263" s="104"/>
      <c r="G263" s="104"/>
      <c r="H263" s="104"/>
    </row>
    <row r="264" spans="1:8" ht="12.75" customHeight="1">
      <c r="A264" s="104"/>
      <c r="B264" s="104"/>
      <c r="C264" s="104"/>
      <c r="D264" s="104"/>
      <c r="E264" s="104"/>
      <c r="F264" s="104"/>
      <c r="G264" s="104"/>
      <c r="H264" s="104"/>
    </row>
    <row r="265" spans="1:8" ht="12.75" customHeight="1">
      <c r="A265" s="104"/>
      <c r="B265" s="104"/>
      <c r="C265" s="104"/>
      <c r="D265" s="104"/>
      <c r="E265" s="104"/>
      <c r="F265" s="104"/>
      <c r="G265" s="104"/>
      <c r="H265" s="104"/>
    </row>
    <row r="266" spans="1:8" ht="12.75" customHeight="1">
      <c r="A266" s="104"/>
      <c r="B266" s="104"/>
      <c r="C266" s="104"/>
      <c r="D266" s="104"/>
      <c r="E266" s="104"/>
      <c r="F266" s="104"/>
      <c r="G266" s="104"/>
      <c r="H266" s="104"/>
    </row>
    <row r="267" spans="1:8" ht="12.75" customHeight="1">
      <c r="A267" s="104"/>
      <c r="B267" s="104"/>
      <c r="C267" s="104"/>
      <c r="D267" s="104"/>
      <c r="E267" s="104"/>
      <c r="F267" s="104"/>
      <c r="G267" s="104"/>
      <c r="H267" s="104"/>
    </row>
    <row r="268" spans="1:8" ht="12.75" customHeight="1">
      <c r="A268" s="104"/>
      <c r="B268" s="104"/>
      <c r="C268" s="104"/>
      <c r="D268" s="104"/>
      <c r="E268" s="104"/>
      <c r="F268" s="104"/>
      <c r="G268" s="104"/>
      <c r="H268" s="104"/>
    </row>
    <row r="269" spans="1:8" ht="12.75" customHeight="1">
      <c r="A269" s="104"/>
      <c r="B269" s="104"/>
      <c r="C269" s="104"/>
      <c r="D269" s="104"/>
      <c r="E269" s="104"/>
      <c r="F269" s="104"/>
      <c r="G269" s="104"/>
      <c r="H269" s="104"/>
    </row>
    <row r="270" spans="1:8" ht="12.75" customHeight="1">
      <c r="A270" s="104"/>
      <c r="B270" s="104"/>
      <c r="C270" s="104"/>
      <c r="D270" s="104"/>
      <c r="E270" s="104"/>
      <c r="F270" s="104"/>
      <c r="G270" s="104"/>
      <c r="H270" s="104"/>
    </row>
    <row r="271" spans="1:8" ht="12.75" customHeight="1">
      <c r="A271" s="104"/>
      <c r="B271" s="104"/>
      <c r="C271" s="104"/>
      <c r="D271" s="104"/>
      <c r="E271" s="104"/>
      <c r="F271" s="104"/>
      <c r="G271" s="104"/>
      <c r="H271" s="104"/>
    </row>
    <row r="272" spans="1:8" ht="12.75" customHeight="1">
      <c r="A272" s="104"/>
      <c r="B272" s="104"/>
      <c r="C272" s="104"/>
      <c r="D272" s="104"/>
      <c r="E272" s="104"/>
      <c r="F272" s="104"/>
      <c r="G272" s="104"/>
      <c r="H272" s="104"/>
    </row>
    <row r="273" spans="1:8" ht="12.75" customHeight="1">
      <c r="A273" s="104"/>
      <c r="B273" s="104"/>
      <c r="C273" s="104"/>
      <c r="D273" s="104"/>
      <c r="E273" s="104"/>
      <c r="F273" s="104"/>
      <c r="G273" s="104"/>
      <c r="H273" s="104"/>
    </row>
    <row r="274" spans="1:8" ht="12.75" customHeight="1">
      <c r="A274" s="104"/>
      <c r="B274" s="104"/>
      <c r="C274" s="104"/>
      <c r="D274" s="104"/>
      <c r="E274" s="104"/>
      <c r="F274" s="104"/>
      <c r="G274" s="104"/>
      <c r="H274" s="104"/>
    </row>
    <row r="275" spans="1:8" ht="12.75" customHeight="1">
      <c r="A275" s="104"/>
      <c r="B275" s="104"/>
      <c r="C275" s="104"/>
      <c r="D275" s="104"/>
      <c r="E275" s="104"/>
      <c r="F275" s="104"/>
      <c r="G275" s="104"/>
      <c r="H275" s="104"/>
    </row>
    <row r="276" spans="1:8" ht="12.75" customHeight="1">
      <c r="A276" s="104"/>
      <c r="B276" s="104"/>
      <c r="C276" s="104"/>
      <c r="D276" s="104"/>
      <c r="E276" s="104"/>
      <c r="F276" s="104"/>
      <c r="G276" s="104"/>
      <c r="H276" s="104"/>
    </row>
    <row r="277" spans="1:8" ht="12.75" customHeight="1">
      <c r="A277" s="104"/>
      <c r="B277" s="104"/>
      <c r="C277" s="104"/>
      <c r="D277" s="104"/>
      <c r="E277" s="104"/>
      <c r="F277" s="104"/>
      <c r="G277" s="104"/>
      <c r="H277" s="104"/>
    </row>
    <row r="278" spans="1:8" ht="12.75" customHeight="1">
      <c r="A278" s="104"/>
      <c r="B278" s="104"/>
      <c r="C278" s="104"/>
      <c r="D278" s="104"/>
      <c r="E278" s="104"/>
      <c r="F278" s="104"/>
      <c r="G278" s="104"/>
      <c r="H278" s="104"/>
    </row>
    <row r="279" spans="1:8" ht="12.75" customHeight="1">
      <c r="A279" s="104"/>
      <c r="B279" s="104"/>
      <c r="C279" s="104"/>
      <c r="D279" s="104"/>
      <c r="E279" s="104"/>
      <c r="F279" s="104"/>
      <c r="G279" s="104"/>
      <c r="H279" s="104"/>
    </row>
    <row r="280" spans="1:8" ht="12.75" customHeight="1">
      <c r="A280" s="104"/>
      <c r="B280" s="104"/>
      <c r="C280" s="104"/>
      <c r="D280" s="104"/>
      <c r="E280" s="104"/>
      <c r="F280" s="104"/>
      <c r="G280" s="104"/>
      <c r="H280" s="104"/>
    </row>
    <row r="281" spans="1:8" ht="12.75" customHeight="1">
      <c r="A281" s="104"/>
      <c r="B281" s="104"/>
      <c r="C281" s="104"/>
      <c r="D281" s="104"/>
      <c r="E281" s="104"/>
      <c r="F281" s="104"/>
      <c r="G281" s="104"/>
      <c r="H281" s="104"/>
    </row>
    <row r="282" spans="1:8" ht="12.75" customHeight="1">
      <c r="A282" s="104"/>
      <c r="B282" s="104"/>
      <c r="C282" s="104"/>
      <c r="D282" s="104"/>
      <c r="E282" s="104"/>
      <c r="F282" s="104"/>
      <c r="G282" s="104"/>
      <c r="H282" s="104"/>
    </row>
    <row r="283" spans="1:8" ht="12.75" customHeight="1">
      <c r="A283" s="104"/>
      <c r="B283" s="104"/>
      <c r="C283" s="104"/>
      <c r="D283" s="104"/>
      <c r="E283" s="104"/>
      <c r="F283" s="104"/>
      <c r="G283" s="104"/>
      <c r="H283" s="104"/>
    </row>
    <row r="284" spans="1:8" ht="12.75" customHeight="1">
      <c r="A284" s="104"/>
      <c r="B284" s="104"/>
      <c r="C284" s="104"/>
      <c r="D284" s="104"/>
      <c r="E284" s="104"/>
      <c r="F284" s="104"/>
      <c r="G284" s="104"/>
      <c r="H284" s="104"/>
    </row>
    <row r="285" spans="1:8" ht="12.75" customHeight="1">
      <c r="A285" s="104"/>
      <c r="B285" s="104"/>
      <c r="C285" s="104"/>
      <c r="D285" s="104"/>
      <c r="E285" s="104"/>
      <c r="F285" s="104"/>
      <c r="G285" s="104"/>
      <c r="H285" s="104"/>
    </row>
    <row r="286" spans="1:8" ht="12.75" customHeight="1">
      <c r="A286" s="104"/>
      <c r="B286" s="104"/>
      <c r="C286" s="104"/>
      <c r="D286" s="104"/>
      <c r="E286" s="104"/>
      <c r="F286" s="104"/>
      <c r="G286" s="104"/>
      <c r="H286" s="104"/>
    </row>
    <row r="287" spans="1:8" ht="12.75" customHeight="1">
      <c r="A287" s="104"/>
      <c r="B287" s="104"/>
      <c r="C287" s="104"/>
      <c r="D287" s="104"/>
      <c r="E287" s="104"/>
      <c r="F287" s="104"/>
      <c r="G287" s="104"/>
      <c r="H287" s="104"/>
    </row>
    <row r="288" spans="1:8" ht="12.75" customHeight="1">
      <c r="A288" s="104"/>
      <c r="B288" s="104"/>
      <c r="C288" s="104"/>
      <c r="D288" s="104"/>
      <c r="E288" s="104"/>
      <c r="F288" s="104"/>
      <c r="G288" s="104"/>
      <c r="H288" s="104"/>
    </row>
    <row r="289" spans="1:8" ht="12.75" customHeight="1">
      <c r="A289" s="104"/>
      <c r="B289" s="104"/>
      <c r="C289" s="104"/>
      <c r="D289" s="104"/>
      <c r="E289" s="104"/>
      <c r="F289" s="104"/>
      <c r="G289" s="104"/>
      <c r="H289" s="104"/>
    </row>
    <row r="290" spans="1:8" ht="12.75" customHeight="1">
      <c r="A290" s="104"/>
      <c r="B290" s="104"/>
      <c r="C290" s="104"/>
      <c r="D290" s="104"/>
      <c r="E290" s="104"/>
      <c r="F290" s="104"/>
      <c r="G290" s="104"/>
      <c r="H290" s="104"/>
    </row>
    <row r="291" spans="1:8" ht="12.75" customHeight="1">
      <c r="A291" s="104"/>
      <c r="B291" s="104"/>
      <c r="C291" s="104"/>
      <c r="D291" s="104"/>
      <c r="E291" s="104"/>
      <c r="F291" s="104"/>
      <c r="G291" s="104"/>
      <c r="H291" s="104"/>
    </row>
    <row r="292" spans="1:8" ht="12.75" customHeight="1">
      <c r="A292" s="104"/>
      <c r="B292" s="104"/>
      <c r="C292" s="104"/>
      <c r="D292" s="104"/>
      <c r="E292" s="104"/>
      <c r="F292" s="104"/>
      <c r="G292" s="104"/>
      <c r="H292" s="104"/>
    </row>
    <row r="293" spans="1:8" ht="12.75" customHeight="1">
      <c r="A293" s="104"/>
      <c r="B293" s="104"/>
      <c r="C293" s="104"/>
      <c r="D293" s="104"/>
      <c r="E293" s="104"/>
      <c r="F293" s="104"/>
      <c r="G293" s="104"/>
      <c r="H293" s="104"/>
    </row>
    <row r="294" spans="1:8" ht="12.75" customHeight="1">
      <c r="A294" s="104"/>
      <c r="B294" s="104"/>
      <c r="C294" s="104"/>
      <c r="D294" s="104"/>
      <c r="E294" s="104"/>
      <c r="F294" s="104"/>
      <c r="G294" s="104"/>
      <c r="H294" s="104"/>
    </row>
    <row r="295" spans="1:8" ht="12.75" customHeight="1">
      <c r="A295" s="104"/>
      <c r="B295" s="104"/>
      <c r="C295" s="104"/>
      <c r="D295" s="104"/>
      <c r="E295" s="104"/>
      <c r="F295" s="104"/>
      <c r="G295" s="104"/>
      <c r="H295" s="104"/>
    </row>
    <row r="296" spans="1:8" ht="12.75" customHeight="1">
      <c r="A296" s="104"/>
      <c r="B296" s="104"/>
      <c r="C296" s="104"/>
      <c r="D296" s="104"/>
      <c r="E296" s="104"/>
      <c r="F296" s="104"/>
      <c r="G296" s="104"/>
      <c r="H296" s="104"/>
    </row>
    <row r="297" spans="1:8" ht="12.75" customHeight="1">
      <c r="A297" s="104"/>
      <c r="B297" s="104"/>
      <c r="C297" s="104"/>
      <c r="D297" s="104"/>
      <c r="E297" s="104"/>
      <c r="F297" s="104"/>
      <c r="G297" s="104"/>
      <c r="H297" s="104"/>
    </row>
    <row r="298" spans="1:8" ht="12.75" customHeight="1">
      <c r="A298" s="104"/>
      <c r="B298" s="104"/>
      <c r="C298" s="104"/>
      <c r="D298" s="104"/>
      <c r="E298" s="104"/>
      <c r="F298" s="104"/>
      <c r="G298" s="104"/>
      <c r="H298" s="104"/>
    </row>
    <row r="299" spans="1:8" ht="12.75" customHeight="1">
      <c r="A299" s="104"/>
      <c r="B299" s="104"/>
      <c r="C299" s="104"/>
      <c r="D299" s="104"/>
      <c r="E299" s="104"/>
      <c r="F299" s="104"/>
      <c r="G299" s="104"/>
      <c r="H299" s="104"/>
    </row>
    <row r="300" spans="1:8" ht="12.75" customHeight="1">
      <c r="A300" s="104"/>
      <c r="B300" s="104"/>
      <c r="C300" s="104"/>
      <c r="D300" s="104"/>
      <c r="E300" s="104"/>
      <c r="F300" s="104"/>
      <c r="G300" s="104"/>
      <c r="H300" s="104"/>
    </row>
    <row r="301" spans="1:8" ht="12.75" customHeight="1">
      <c r="A301" s="104"/>
      <c r="B301" s="104"/>
      <c r="C301" s="104"/>
      <c r="D301" s="104"/>
      <c r="E301" s="104"/>
      <c r="F301" s="104"/>
      <c r="G301" s="104"/>
      <c r="H301" s="104"/>
    </row>
    <row r="302" spans="1:8" ht="12.75" customHeight="1">
      <c r="A302" s="104"/>
      <c r="B302" s="104"/>
      <c r="C302" s="104"/>
      <c r="D302" s="104"/>
      <c r="E302" s="104"/>
      <c r="F302" s="104"/>
      <c r="G302" s="104"/>
      <c r="H302" s="104"/>
    </row>
    <row r="303" spans="1:8" ht="12.75" customHeight="1">
      <c r="A303" s="104"/>
      <c r="B303" s="104"/>
      <c r="C303" s="104"/>
      <c r="D303" s="104"/>
      <c r="E303" s="104"/>
      <c r="F303" s="104"/>
      <c r="G303" s="104"/>
      <c r="H303" s="104"/>
    </row>
    <row r="304" spans="1:8" ht="12.75" customHeight="1">
      <c r="A304" s="104"/>
      <c r="B304" s="104"/>
      <c r="C304" s="104"/>
      <c r="D304" s="104"/>
      <c r="E304" s="104"/>
      <c r="F304" s="104"/>
      <c r="G304" s="104"/>
      <c r="H304" s="104"/>
    </row>
    <row r="305" spans="1:8" ht="12.75" customHeight="1">
      <c r="A305" s="104"/>
      <c r="B305" s="104"/>
      <c r="C305" s="104"/>
      <c r="D305" s="104"/>
      <c r="E305" s="104"/>
      <c r="F305" s="104"/>
      <c r="G305" s="104"/>
      <c r="H305" s="104"/>
    </row>
    <row r="306" spans="1:8" ht="12.75" customHeight="1">
      <c r="A306" s="104"/>
      <c r="B306" s="104"/>
      <c r="C306" s="104"/>
      <c r="D306" s="104"/>
      <c r="E306" s="104"/>
      <c r="F306" s="104"/>
      <c r="G306" s="104"/>
      <c r="H306" s="104"/>
    </row>
    <row r="307" spans="1:8" ht="12.75" customHeight="1">
      <c r="A307" s="104"/>
      <c r="B307" s="104"/>
      <c r="C307" s="104"/>
      <c r="D307" s="104"/>
      <c r="E307" s="104"/>
      <c r="F307" s="104"/>
      <c r="G307" s="104"/>
      <c r="H307" s="104"/>
    </row>
    <row r="308" spans="1:8" ht="12.75" customHeight="1">
      <c r="A308" s="104"/>
      <c r="B308" s="104"/>
      <c r="C308" s="104"/>
      <c r="D308" s="104"/>
      <c r="E308" s="104"/>
      <c r="F308" s="104"/>
      <c r="G308" s="104"/>
      <c r="H308" s="104"/>
    </row>
    <row r="309" spans="1:8" ht="12.75" customHeight="1">
      <c r="A309" s="104"/>
      <c r="B309" s="104"/>
      <c r="C309" s="104"/>
      <c r="D309" s="104"/>
      <c r="E309" s="104"/>
      <c r="F309" s="104"/>
      <c r="G309" s="104"/>
      <c r="H309" s="104"/>
    </row>
    <row r="310" spans="1:8" ht="12.75" customHeight="1">
      <c r="A310" s="104"/>
      <c r="B310" s="104"/>
      <c r="C310" s="104"/>
      <c r="D310" s="104"/>
      <c r="E310" s="104"/>
      <c r="F310" s="104"/>
      <c r="G310" s="104"/>
      <c r="H310" s="104"/>
    </row>
    <row r="311" spans="1:8" ht="12.75" customHeight="1">
      <c r="A311" s="104"/>
      <c r="B311" s="104"/>
      <c r="C311" s="104"/>
      <c r="D311" s="104"/>
      <c r="E311" s="104"/>
      <c r="F311" s="104"/>
      <c r="G311" s="104"/>
      <c r="H311" s="104"/>
    </row>
    <row r="312" spans="1:8" ht="12.75" customHeight="1">
      <c r="A312" s="104"/>
      <c r="B312" s="104"/>
      <c r="C312" s="104"/>
      <c r="D312" s="104"/>
      <c r="E312" s="104"/>
      <c r="F312" s="104"/>
      <c r="G312" s="104"/>
      <c r="H312" s="104"/>
    </row>
    <row r="313" spans="1:8" ht="12.75" customHeight="1">
      <c r="A313" s="104"/>
      <c r="B313" s="104"/>
      <c r="C313" s="104"/>
      <c r="D313" s="104"/>
      <c r="E313" s="104"/>
      <c r="F313" s="104"/>
      <c r="G313" s="104"/>
      <c r="H313" s="104"/>
    </row>
    <row r="314" spans="1:8" ht="12.75" customHeight="1">
      <c r="A314" s="104"/>
      <c r="B314" s="104"/>
      <c r="C314" s="104"/>
      <c r="D314" s="104"/>
      <c r="E314" s="104"/>
      <c r="F314" s="104"/>
      <c r="G314" s="104"/>
      <c r="H314" s="104"/>
    </row>
    <row r="315" spans="1:8" ht="12.75" customHeight="1">
      <c r="A315" s="104"/>
      <c r="B315" s="104"/>
      <c r="C315" s="104"/>
      <c r="D315" s="104"/>
      <c r="E315" s="104"/>
      <c r="F315" s="104"/>
      <c r="G315" s="104"/>
      <c r="H315" s="104"/>
    </row>
    <row r="316" spans="1:8" ht="12.75" customHeight="1">
      <c r="A316" s="104"/>
      <c r="B316" s="104"/>
      <c r="C316" s="104"/>
      <c r="D316" s="104"/>
      <c r="E316" s="104"/>
      <c r="F316" s="104"/>
      <c r="G316" s="104"/>
      <c r="H316" s="104"/>
    </row>
    <row r="317" spans="1:8" ht="12.75" customHeight="1">
      <c r="A317" s="104"/>
      <c r="B317" s="104"/>
      <c r="C317" s="104"/>
      <c r="D317" s="104"/>
      <c r="E317" s="104"/>
      <c r="F317" s="104"/>
      <c r="G317" s="104"/>
      <c r="H317" s="104"/>
    </row>
    <row r="318" spans="1:8" ht="12.75" customHeight="1">
      <c r="A318" s="104"/>
      <c r="B318" s="104"/>
      <c r="C318" s="104"/>
      <c r="D318" s="104"/>
      <c r="E318" s="104"/>
      <c r="F318" s="104"/>
      <c r="G318" s="104"/>
      <c r="H318" s="104"/>
    </row>
    <row r="319" spans="1:8" ht="12.75" customHeight="1">
      <c r="A319" s="104"/>
      <c r="B319" s="104"/>
      <c r="C319" s="104"/>
      <c r="D319" s="104"/>
      <c r="E319" s="104"/>
      <c r="F319" s="104"/>
      <c r="G319" s="104"/>
      <c r="H319" s="104"/>
    </row>
    <row r="320" spans="1:8" ht="12.75" customHeight="1">
      <c r="A320" s="104"/>
      <c r="B320" s="104"/>
      <c r="C320" s="104"/>
      <c r="D320" s="104"/>
      <c r="E320" s="104"/>
      <c r="F320" s="104"/>
      <c r="G320" s="104"/>
      <c r="H320" s="104"/>
    </row>
    <row r="321" spans="1:8" ht="12.75" customHeight="1">
      <c r="A321" s="104"/>
      <c r="B321" s="104"/>
      <c r="C321" s="104"/>
      <c r="D321" s="104"/>
      <c r="E321" s="104"/>
      <c r="F321" s="104"/>
      <c r="G321" s="104"/>
      <c r="H321" s="104"/>
    </row>
    <row r="322" spans="1:8" ht="12.75" customHeight="1">
      <c r="A322" s="104"/>
      <c r="B322" s="104"/>
      <c r="C322" s="104"/>
      <c r="D322" s="104"/>
      <c r="E322" s="104"/>
      <c r="F322" s="104"/>
      <c r="G322" s="104"/>
      <c r="H322" s="104"/>
    </row>
    <row r="323" spans="1:8" ht="12.75" customHeight="1">
      <c r="A323" s="104"/>
      <c r="B323" s="104"/>
      <c r="C323" s="104"/>
      <c r="D323" s="104"/>
      <c r="E323" s="104"/>
      <c r="F323" s="104"/>
      <c r="G323" s="104"/>
      <c r="H323" s="104"/>
    </row>
    <row r="324" spans="1:8" ht="12.75" customHeight="1">
      <c r="A324" s="104"/>
      <c r="B324" s="104"/>
      <c r="C324" s="104"/>
      <c r="D324" s="104"/>
      <c r="E324" s="104"/>
      <c r="F324" s="104"/>
      <c r="G324" s="104"/>
      <c r="H324" s="104"/>
    </row>
    <row r="325" spans="1:8" ht="12.75" customHeight="1">
      <c r="A325" s="104"/>
      <c r="B325" s="104"/>
      <c r="C325" s="104"/>
      <c r="D325" s="104"/>
      <c r="E325" s="104"/>
      <c r="F325" s="104"/>
      <c r="G325" s="104"/>
      <c r="H325" s="104"/>
    </row>
    <row r="326" spans="1:8" ht="12.75" customHeight="1">
      <c r="A326" s="104"/>
      <c r="B326" s="104"/>
      <c r="C326" s="104"/>
      <c r="D326" s="104"/>
      <c r="E326" s="104"/>
      <c r="F326" s="104"/>
      <c r="G326" s="104"/>
      <c r="H326" s="104"/>
    </row>
    <row r="327" spans="1:8" ht="12.75" customHeight="1">
      <c r="A327" s="104"/>
      <c r="B327" s="104"/>
      <c r="C327" s="104"/>
      <c r="D327" s="104"/>
      <c r="E327" s="104"/>
      <c r="F327" s="104"/>
      <c r="G327" s="104"/>
      <c r="H327" s="104"/>
    </row>
    <row r="328" spans="1:8" ht="12.75" customHeight="1">
      <c r="A328" s="104"/>
      <c r="B328" s="104"/>
      <c r="C328" s="104"/>
      <c r="D328" s="104"/>
      <c r="E328" s="104"/>
      <c r="F328" s="104"/>
      <c r="G328" s="104"/>
      <c r="H328" s="104"/>
    </row>
    <row r="329" spans="1:8" ht="12.75" customHeight="1">
      <c r="A329" s="104"/>
      <c r="B329" s="104"/>
      <c r="C329" s="104"/>
      <c r="D329" s="104"/>
      <c r="E329" s="104"/>
      <c r="F329" s="104"/>
      <c r="G329" s="104"/>
      <c r="H329" s="104"/>
    </row>
    <row r="330" spans="1:8" ht="12.75" customHeight="1">
      <c r="A330" s="104"/>
      <c r="B330" s="104"/>
      <c r="C330" s="104"/>
      <c r="D330" s="104"/>
      <c r="E330" s="104"/>
      <c r="F330" s="104"/>
      <c r="G330" s="104"/>
      <c r="H330" s="104"/>
    </row>
    <row r="331" spans="1:8" ht="12.75" customHeight="1">
      <c r="A331" s="104"/>
      <c r="B331" s="104"/>
      <c r="C331" s="104"/>
      <c r="D331" s="104"/>
      <c r="E331" s="104"/>
      <c r="F331" s="104"/>
      <c r="G331" s="104"/>
      <c r="H331" s="104"/>
    </row>
    <row r="332" spans="1:8" ht="12.75" customHeight="1">
      <c r="A332" s="104"/>
      <c r="B332" s="104"/>
      <c r="C332" s="104"/>
      <c r="D332" s="104"/>
      <c r="E332" s="104"/>
      <c r="F332" s="104"/>
      <c r="G332" s="104"/>
      <c r="H332" s="104"/>
    </row>
    <row r="333" spans="1:8" ht="12.75" customHeight="1">
      <c r="A333" s="104"/>
      <c r="B333" s="104"/>
      <c r="C333" s="104"/>
      <c r="D333" s="104"/>
      <c r="E333" s="104"/>
      <c r="F333" s="104"/>
      <c r="G333" s="104"/>
      <c r="H333" s="104"/>
    </row>
    <row r="334" spans="1:8" ht="12.75" customHeight="1">
      <c r="A334" s="104"/>
      <c r="B334" s="104"/>
      <c r="C334" s="104"/>
      <c r="D334" s="104"/>
      <c r="E334" s="104"/>
      <c r="F334" s="104"/>
      <c r="G334" s="104"/>
      <c r="H334" s="104"/>
    </row>
    <row r="335" spans="1:8" ht="12.75" customHeight="1">
      <c r="A335" s="104"/>
      <c r="B335" s="104"/>
      <c r="C335" s="104"/>
      <c r="D335" s="104"/>
      <c r="E335" s="104"/>
      <c r="F335" s="104"/>
      <c r="G335" s="104"/>
      <c r="H335" s="104"/>
    </row>
    <row r="336" spans="1:8" ht="12.75" customHeight="1">
      <c r="A336" s="104"/>
      <c r="B336" s="104"/>
      <c r="C336" s="104"/>
      <c r="D336" s="104"/>
      <c r="E336" s="104"/>
      <c r="F336" s="104"/>
      <c r="G336" s="104"/>
      <c r="H336" s="104"/>
    </row>
    <row r="337" spans="1:8" ht="12.75" customHeight="1">
      <c r="A337" s="104"/>
      <c r="B337" s="104"/>
      <c r="C337" s="104"/>
      <c r="D337" s="104"/>
      <c r="E337" s="104"/>
      <c r="F337" s="104"/>
      <c r="G337" s="104"/>
      <c r="H337" s="104"/>
    </row>
    <row r="338" spans="1:8" ht="12.75" customHeight="1">
      <c r="A338" s="104"/>
      <c r="B338" s="104"/>
      <c r="C338" s="104"/>
      <c r="D338" s="104"/>
      <c r="E338" s="104"/>
      <c r="F338" s="104"/>
      <c r="G338" s="104"/>
      <c r="H338" s="104"/>
    </row>
    <row r="339" spans="1:8" ht="12.75" customHeight="1">
      <c r="A339" s="104"/>
      <c r="B339" s="104"/>
      <c r="C339" s="104"/>
      <c r="D339" s="104"/>
      <c r="E339" s="104"/>
      <c r="F339" s="104"/>
      <c r="G339" s="104"/>
      <c r="H339" s="104"/>
    </row>
    <row r="340" spans="1:8" ht="12.75" customHeight="1">
      <c r="A340" s="104"/>
      <c r="B340" s="104"/>
      <c r="C340" s="104"/>
      <c r="D340" s="104"/>
      <c r="E340" s="104"/>
      <c r="F340" s="104"/>
      <c r="G340" s="104"/>
      <c r="H340" s="104"/>
    </row>
    <row r="341" spans="1:8" ht="12.75" customHeight="1">
      <c r="A341" s="104"/>
      <c r="B341" s="104"/>
      <c r="C341" s="104"/>
      <c r="D341" s="104"/>
      <c r="E341" s="104"/>
      <c r="F341" s="104"/>
      <c r="G341" s="104"/>
      <c r="H341" s="104"/>
    </row>
    <row r="342" spans="1:8" ht="12.75" customHeight="1">
      <c r="A342" s="104"/>
      <c r="B342" s="104"/>
      <c r="C342" s="104"/>
      <c r="D342" s="104"/>
      <c r="E342" s="104"/>
      <c r="F342" s="104"/>
      <c r="G342" s="104"/>
      <c r="H342" s="104"/>
    </row>
    <row r="343" spans="1:8" ht="12.75" customHeight="1">
      <c r="A343" s="104"/>
      <c r="B343" s="104"/>
      <c r="C343" s="104"/>
      <c r="D343" s="104"/>
      <c r="E343" s="104"/>
      <c r="F343" s="104"/>
      <c r="G343" s="104"/>
      <c r="H343" s="104"/>
    </row>
    <row r="344" spans="1:8" ht="12.75" customHeight="1">
      <c r="A344" s="104"/>
      <c r="B344" s="104"/>
      <c r="C344" s="104"/>
      <c r="D344" s="104"/>
      <c r="E344" s="104"/>
      <c r="F344" s="104"/>
      <c r="G344" s="104"/>
      <c r="H344" s="104"/>
    </row>
    <row r="345" spans="1:8" ht="12.75" customHeight="1">
      <c r="A345" s="104"/>
      <c r="B345" s="104"/>
      <c r="C345" s="104"/>
      <c r="D345" s="104"/>
      <c r="E345" s="104"/>
      <c r="F345" s="104"/>
      <c r="G345" s="104"/>
      <c r="H345" s="104"/>
    </row>
    <row r="346" spans="1:8" ht="12.75" customHeight="1">
      <c r="A346" s="104"/>
      <c r="B346" s="104"/>
      <c r="C346" s="104"/>
      <c r="D346" s="104"/>
      <c r="E346" s="104"/>
      <c r="F346" s="104"/>
      <c r="G346" s="104"/>
      <c r="H346" s="104"/>
    </row>
    <row r="347" spans="1:8" ht="12.75" customHeight="1">
      <c r="A347" s="104"/>
      <c r="B347" s="104"/>
      <c r="C347" s="104"/>
      <c r="D347" s="104"/>
      <c r="E347" s="104"/>
      <c r="F347" s="104"/>
      <c r="G347" s="104"/>
      <c r="H347" s="104"/>
    </row>
    <row r="348" spans="1:8" ht="12.75" customHeight="1">
      <c r="A348" s="104"/>
      <c r="B348" s="104"/>
      <c r="C348" s="104"/>
      <c r="D348" s="104"/>
      <c r="E348" s="104"/>
      <c r="F348" s="104"/>
      <c r="G348" s="104"/>
      <c r="H348" s="104"/>
    </row>
    <row r="349" spans="1:8" ht="12.75" customHeight="1">
      <c r="A349" s="104"/>
      <c r="B349" s="104"/>
      <c r="C349" s="104"/>
      <c r="D349" s="104"/>
      <c r="E349" s="104"/>
      <c r="F349" s="104"/>
      <c r="G349" s="104"/>
      <c r="H349" s="104"/>
    </row>
    <row r="350" spans="1:8" ht="12.75" customHeight="1">
      <c r="A350" s="104"/>
      <c r="B350" s="104"/>
      <c r="C350" s="104"/>
      <c r="D350" s="104"/>
      <c r="E350" s="104"/>
      <c r="F350" s="104"/>
      <c r="G350" s="104"/>
      <c r="H350" s="104"/>
    </row>
    <row r="351" spans="1:8" ht="12.75" customHeight="1">
      <c r="A351" s="104"/>
      <c r="B351" s="104"/>
      <c r="C351" s="104"/>
      <c r="D351" s="104"/>
      <c r="E351" s="104"/>
      <c r="F351" s="104"/>
      <c r="G351" s="104"/>
      <c r="H351" s="104"/>
    </row>
    <row r="352" spans="1:8" ht="12.75" customHeight="1">
      <c r="A352" s="104"/>
      <c r="B352" s="104"/>
      <c r="C352" s="104"/>
      <c r="D352" s="104"/>
      <c r="E352" s="104"/>
      <c r="F352" s="104"/>
      <c r="G352" s="104"/>
      <c r="H352" s="104"/>
    </row>
    <row r="353" spans="1:8" ht="12.75" customHeight="1">
      <c r="A353" s="104"/>
      <c r="B353" s="104"/>
      <c r="C353" s="104"/>
      <c r="D353" s="104"/>
      <c r="E353" s="104"/>
      <c r="F353" s="104"/>
      <c r="G353" s="104"/>
      <c r="H353" s="104"/>
    </row>
    <row r="354" spans="1:8" ht="12.75" customHeight="1">
      <c r="A354" s="104"/>
      <c r="B354" s="104"/>
      <c r="C354" s="104"/>
      <c r="D354" s="104"/>
      <c r="E354" s="104"/>
      <c r="F354" s="104"/>
      <c r="G354" s="104"/>
      <c r="H354" s="104"/>
    </row>
    <row r="355" spans="1:8" ht="12.75" customHeight="1">
      <c r="A355" s="104"/>
      <c r="B355" s="104"/>
      <c r="C355" s="104"/>
      <c r="D355" s="104"/>
      <c r="E355" s="104"/>
      <c r="F355" s="104"/>
      <c r="G355" s="104"/>
      <c r="H355" s="104"/>
    </row>
    <row r="356" spans="1:8" ht="12.75" customHeight="1">
      <c r="A356" s="104"/>
      <c r="B356" s="104"/>
      <c r="C356" s="104"/>
      <c r="D356" s="104"/>
      <c r="E356" s="104"/>
      <c r="F356" s="104"/>
      <c r="G356" s="104"/>
      <c r="H356" s="104"/>
    </row>
    <row r="357" spans="1:8" ht="12.75" customHeight="1">
      <c r="A357" s="104"/>
      <c r="B357" s="104"/>
      <c r="C357" s="104"/>
      <c r="D357" s="104"/>
      <c r="E357" s="104"/>
      <c r="F357" s="104"/>
      <c r="G357" s="104"/>
      <c r="H357" s="104"/>
    </row>
    <row r="358" spans="1:8" ht="12.75" customHeight="1">
      <c r="A358" s="104"/>
      <c r="B358" s="104"/>
      <c r="C358" s="104"/>
      <c r="D358" s="104"/>
      <c r="E358" s="104"/>
      <c r="F358" s="104"/>
      <c r="G358" s="104"/>
      <c r="H358" s="104"/>
    </row>
    <row r="359" spans="1:8" ht="12.75" customHeight="1">
      <c r="A359" s="104"/>
      <c r="B359" s="104"/>
      <c r="C359" s="104"/>
      <c r="D359" s="104"/>
      <c r="E359" s="104"/>
      <c r="F359" s="104"/>
      <c r="G359" s="104"/>
      <c r="H359" s="104"/>
    </row>
    <row r="360" spans="1:8" ht="12.75" customHeight="1">
      <c r="A360" s="104"/>
      <c r="B360" s="104"/>
      <c r="C360" s="104"/>
      <c r="D360" s="104"/>
      <c r="E360" s="104"/>
      <c r="F360" s="104"/>
      <c r="G360" s="104"/>
      <c r="H360" s="104"/>
    </row>
    <row r="361" spans="1:8" ht="12.75" customHeight="1">
      <c r="A361" s="104"/>
      <c r="B361" s="104"/>
      <c r="C361" s="104"/>
      <c r="D361" s="104"/>
      <c r="E361" s="104"/>
      <c r="F361" s="104"/>
      <c r="G361" s="104"/>
      <c r="H361" s="104"/>
    </row>
    <row r="362" spans="1:8" ht="12.75" customHeight="1">
      <c r="A362" s="104"/>
      <c r="B362" s="104"/>
      <c r="C362" s="104"/>
      <c r="D362" s="104"/>
      <c r="E362" s="104"/>
      <c r="F362" s="104"/>
      <c r="G362" s="104"/>
      <c r="H362" s="104"/>
    </row>
    <row r="363" spans="1:8" ht="12.75" customHeight="1">
      <c r="A363" s="104"/>
      <c r="B363" s="104"/>
      <c r="C363" s="104"/>
      <c r="D363" s="104"/>
      <c r="E363" s="104"/>
      <c r="F363" s="104"/>
      <c r="G363" s="104"/>
      <c r="H363" s="104"/>
    </row>
    <row r="364" spans="1:8" ht="12.75" customHeight="1">
      <c r="A364" s="104"/>
      <c r="B364" s="104"/>
      <c r="C364" s="104"/>
      <c r="D364" s="104"/>
      <c r="E364" s="104"/>
      <c r="F364" s="104"/>
      <c r="G364" s="104"/>
      <c r="H364" s="104"/>
    </row>
    <row r="365" spans="1:8" ht="12.75" customHeight="1">
      <c r="A365" s="104"/>
      <c r="B365" s="104"/>
      <c r="C365" s="104"/>
      <c r="D365" s="104"/>
      <c r="E365" s="104"/>
      <c r="F365" s="104"/>
      <c r="G365" s="104"/>
      <c r="H365" s="104"/>
    </row>
    <row r="366" spans="1:8" ht="12.75" customHeight="1">
      <c r="A366" s="104"/>
      <c r="B366" s="104"/>
      <c r="C366" s="104"/>
      <c r="D366" s="104"/>
      <c r="E366" s="104"/>
      <c r="F366" s="104"/>
      <c r="G366" s="104"/>
      <c r="H366" s="104"/>
    </row>
    <row r="367" spans="1:8" ht="12.75" customHeight="1">
      <c r="A367" s="104"/>
      <c r="B367" s="104"/>
      <c r="C367" s="104"/>
      <c r="D367" s="104"/>
      <c r="E367" s="104"/>
      <c r="F367" s="104"/>
      <c r="G367" s="104"/>
      <c r="H367" s="104"/>
    </row>
    <row r="368" spans="1:8" ht="12.75" customHeight="1">
      <c r="A368" s="104"/>
      <c r="B368" s="104"/>
      <c r="C368" s="104"/>
      <c r="D368" s="104"/>
      <c r="E368" s="104"/>
      <c r="F368" s="104"/>
      <c r="G368" s="104"/>
      <c r="H368" s="104"/>
    </row>
    <row r="369" spans="1:8" ht="12.75" customHeight="1">
      <c r="A369" s="104"/>
      <c r="B369" s="104"/>
      <c r="C369" s="104"/>
      <c r="D369" s="104"/>
      <c r="E369" s="104"/>
      <c r="F369" s="104"/>
      <c r="G369" s="104"/>
      <c r="H369" s="104"/>
    </row>
    <row r="370" spans="1:8" ht="12.75" customHeight="1">
      <c r="A370" s="104"/>
      <c r="B370" s="104"/>
      <c r="C370" s="104"/>
      <c r="D370" s="104"/>
      <c r="E370" s="104"/>
      <c r="F370" s="104"/>
      <c r="G370" s="104"/>
      <c r="H370" s="104"/>
    </row>
    <row r="371" spans="1:8" ht="12.75" customHeight="1">
      <c r="A371" s="104"/>
      <c r="B371" s="104"/>
      <c r="C371" s="104"/>
      <c r="D371" s="104"/>
      <c r="E371" s="104"/>
      <c r="F371" s="104"/>
      <c r="G371" s="104"/>
      <c r="H371" s="104"/>
    </row>
    <row r="372" spans="1:8" ht="12.75" customHeight="1">
      <c r="A372" s="104"/>
      <c r="B372" s="104"/>
      <c r="C372" s="104"/>
      <c r="D372" s="104"/>
      <c r="E372" s="104"/>
      <c r="F372" s="104"/>
      <c r="G372" s="104"/>
      <c r="H372" s="104"/>
    </row>
    <row r="373" spans="1:8" ht="12.75" customHeight="1">
      <c r="A373" s="104"/>
      <c r="B373" s="104"/>
      <c r="C373" s="104"/>
      <c r="D373" s="104"/>
      <c r="E373" s="104"/>
      <c r="F373" s="104"/>
      <c r="G373" s="104"/>
      <c r="H373" s="104"/>
    </row>
    <row r="374" spans="1:8" ht="12.75" customHeight="1">
      <c r="A374" s="104"/>
      <c r="B374" s="104"/>
      <c r="C374" s="104"/>
      <c r="D374" s="104"/>
      <c r="E374" s="104"/>
      <c r="F374" s="104"/>
      <c r="G374" s="104"/>
      <c r="H374" s="104"/>
    </row>
    <row r="375" spans="1:8" ht="12.75" customHeight="1">
      <c r="A375" s="104"/>
      <c r="B375" s="104"/>
      <c r="C375" s="104"/>
      <c r="D375" s="104"/>
      <c r="E375" s="104"/>
      <c r="F375" s="104"/>
      <c r="G375" s="104"/>
      <c r="H375" s="104"/>
    </row>
    <row r="376" spans="1:8" ht="12.75" customHeight="1">
      <c r="A376" s="104"/>
      <c r="B376" s="104"/>
      <c r="C376" s="104"/>
      <c r="D376" s="104"/>
      <c r="E376" s="104"/>
      <c r="F376" s="104"/>
      <c r="G376" s="104"/>
      <c r="H376" s="104"/>
    </row>
    <row r="377" spans="1:8" ht="12.75" customHeight="1">
      <c r="A377" s="104"/>
      <c r="B377" s="104"/>
      <c r="C377" s="104"/>
      <c r="D377" s="104"/>
      <c r="E377" s="104"/>
      <c r="F377" s="104"/>
      <c r="G377" s="104"/>
      <c r="H377" s="104"/>
    </row>
    <row r="378" spans="1:8" ht="12.75" customHeight="1">
      <c r="A378" s="104"/>
      <c r="B378" s="104"/>
      <c r="C378" s="104"/>
      <c r="D378" s="104"/>
      <c r="E378" s="104"/>
      <c r="F378" s="104"/>
      <c r="G378" s="104"/>
      <c r="H378" s="104"/>
    </row>
    <row r="379" spans="1:8" ht="12.75" customHeight="1">
      <c r="A379" s="104"/>
      <c r="B379" s="104"/>
      <c r="C379" s="104"/>
      <c r="D379" s="104"/>
      <c r="E379" s="104"/>
      <c r="F379" s="104"/>
      <c r="G379" s="104"/>
      <c r="H379" s="104"/>
    </row>
    <row r="380" spans="1:8" ht="12.75" customHeight="1">
      <c r="A380" s="104"/>
      <c r="B380" s="104"/>
      <c r="C380" s="104"/>
      <c r="D380" s="104"/>
      <c r="E380" s="104"/>
      <c r="F380" s="104"/>
      <c r="G380" s="104"/>
      <c r="H380" s="104"/>
    </row>
    <row r="381" spans="1:8" ht="12.75" customHeight="1">
      <c r="A381" s="104"/>
      <c r="B381" s="104"/>
      <c r="C381" s="104"/>
      <c r="D381" s="104"/>
      <c r="E381" s="104"/>
      <c r="F381" s="104"/>
      <c r="G381" s="104"/>
      <c r="H381" s="104"/>
    </row>
    <row r="382" spans="1:8" ht="12.75" customHeight="1">
      <c r="A382" s="104"/>
      <c r="B382" s="104"/>
      <c r="C382" s="104"/>
      <c r="D382" s="104"/>
      <c r="E382" s="104"/>
      <c r="F382" s="104"/>
      <c r="G382" s="104"/>
      <c r="H382" s="104"/>
    </row>
    <row r="383" spans="1:8" ht="12.75" customHeight="1">
      <c r="A383" s="104"/>
      <c r="B383" s="104"/>
      <c r="C383" s="104"/>
      <c r="D383" s="104"/>
      <c r="E383" s="104"/>
      <c r="F383" s="104"/>
      <c r="G383" s="104"/>
      <c r="H383" s="104"/>
    </row>
    <row r="384" spans="1:8" ht="12.75" customHeight="1">
      <c r="A384" s="104"/>
      <c r="B384" s="104"/>
      <c r="C384" s="104"/>
      <c r="D384" s="104"/>
      <c r="E384" s="104"/>
      <c r="F384" s="104"/>
      <c r="G384" s="104"/>
      <c r="H384" s="104"/>
    </row>
    <row r="385" spans="1:8" ht="12.75" customHeight="1">
      <c r="A385" s="104"/>
      <c r="B385" s="104"/>
      <c r="C385" s="104"/>
      <c r="D385" s="104"/>
      <c r="E385" s="104"/>
      <c r="F385" s="104"/>
      <c r="G385" s="104"/>
      <c r="H385" s="104"/>
    </row>
    <row r="386" spans="1:8" ht="12.75" customHeight="1">
      <c r="A386" s="104"/>
      <c r="B386" s="104"/>
      <c r="C386" s="104"/>
      <c r="D386" s="104"/>
      <c r="E386" s="104"/>
      <c r="F386" s="104"/>
      <c r="G386" s="104"/>
      <c r="H386" s="104"/>
    </row>
    <row r="387" spans="1:8" ht="12.75" customHeight="1">
      <c r="A387" s="104"/>
      <c r="B387" s="104"/>
      <c r="C387" s="104"/>
      <c r="D387" s="104"/>
      <c r="E387" s="104"/>
      <c r="F387" s="104"/>
      <c r="G387" s="104"/>
      <c r="H387" s="104"/>
    </row>
    <row r="388" spans="1:8" ht="12.75" customHeight="1">
      <c r="A388" s="104"/>
      <c r="B388" s="104"/>
      <c r="C388" s="104"/>
      <c r="D388" s="104"/>
      <c r="E388" s="104"/>
      <c r="F388" s="104"/>
      <c r="G388" s="104"/>
      <c r="H388" s="104"/>
    </row>
    <row r="389" spans="1:8" ht="12.75" customHeight="1">
      <c r="A389" s="104"/>
      <c r="B389" s="104"/>
      <c r="C389" s="104"/>
      <c r="D389" s="104"/>
      <c r="E389" s="104"/>
      <c r="F389" s="104"/>
      <c r="G389" s="104"/>
      <c r="H389" s="104"/>
    </row>
    <row r="390" spans="1:8" ht="12.75" customHeight="1">
      <c r="A390" s="104"/>
      <c r="B390" s="104"/>
      <c r="C390" s="104"/>
      <c r="D390" s="104"/>
      <c r="E390" s="104"/>
      <c r="F390" s="104"/>
      <c r="G390" s="104"/>
      <c r="H390" s="104"/>
    </row>
    <row r="391" spans="1:8" ht="12.75" customHeight="1">
      <c r="A391" s="104"/>
      <c r="B391" s="104"/>
      <c r="C391" s="104"/>
      <c r="D391" s="104"/>
      <c r="E391" s="104"/>
      <c r="F391" s="104"/>
      <c r="G391" s="104"/>
      <c r="H391" s="104"/>
    </row>
    <row r="392" spans="1:8" ht="12.75" customHeight="1">
      <c r="A392" s="104"/>
      <c r="B392" s="104"/>
      <c r="C392" s="104"/>
      <c r="D392" s="104"/>
      <c r="E392" s="104"/>
      <c r="F392" s="104"/>
      <c r="G392" s="104"/>
      <c r="H392" s="104"/>
    </row>
    <row r="393" spans="1:8" ht="12.75" customHeight="1">
      <c r="A393" s="104"/>
      <c r="B393" s="104"/>
      <c r="C393" s="104"/>
      <c r="D393" s="104"/>
      <c r="E393" s="104"/>
      <c r="F393" s="104"/>
      <c r="G393" s="104"/>
      <c r="H393" s="104"/>
    </row>
    <row r="394" spans="1:8" ht="12.75" customHeight="1">
      <c r="A394" s="104"/>
      <c r="B394" s="104"/>
      <c r="C394" s="104"/>
      <c r="D394" s="104"/>
      <c r="E394" s="104"/>
      <c r="F394" s="104"/>
      <c r="G394" s="104"/>
      <c r="H394" s="104"/>
    </row>
    <row r="395" spans="1:8" ht="12.75" customHeight="1">
      <c r="A395" s="104"/>
      <c r="B395" s="104"/>
      <c r="C395" s="104"/>
      <c r="D395" s="104"/>
      <c r="E395" s="104"/>
      <c r="F395" s="104"/>
      <c r="G395" s="104"/>
      <c r="H395" s="104"/>
    </row>
    <row r="396" spans="1:8" ht="12.75" customHeight="1">
      <c r="A396" s="104"/>
      <c r="B396" s="104"/>
      <c r="C396" s="104"/>
      <c r="D396" s="104"/>
      <c r="E396" s="104"/>
      <c r="F396" s="104"/>
      <c r="G396" s="104"/>
      <c r="H396" s="104"/>
    </row>
    <row r="397" spans="1:8" ht="12.75" customHeight="1">
      <c r="A397" s="104"/>
      <c r="B397" s="104"/>
      <c r="C397" s="104"/>
      <c r="D397" s="104"/>
      <c r="E397" s="104"/>
      <c r="F397" s="104"/>
      <c r="G397" s="104"/>
      <c r="H397" s="104"/>
    </row>
    <row r="398" spans="1:8" ht="12.75" customHeight="1">
      <c r="A398" s="104"/>
      <c r="B398" s="104"/>
      <c r="C398" s="104"/>
      <c r="D398" s="104"/>
      <c r="E398" s="104"/>
      <c r="F398" s="104"/>
      <c r="G398" s="104"/>
      <c r="H398" s="104"/>
    </row>
    <row r="399" spans="1:8" ht="12.75" customHeight="1">
      <c r="A399" s="104"/>
      <c r="B399" s="104"/>
      <c r="C399" s="104"/>
      <c r="D399" s="104"/>
      <c r="E399" s="104"/>
      <c r="F399" s="104"/>
      <c r="G399" s="104"/>
      <c r="H399" s="104"/>
    </row>
    <row r="400" spans="1:8" ht="12.75" customHeight="1">
      <c r="A400" s="104"/>
      <c r="B400" s="104"/>
      <c r="C400" s="104"/>
      <c r="D400" s="104"/>
      <c r="E400" s="104"/>
      <c r="F400" s="104"/>
      <c r="G400" s="104"/>
      <c r="H400" s="104"/>
    </row>
    <row r="401" spans="1:8" ht="12.75" customHeight="1">
      <c r="A401" s="104"/>
      <c r="B401" s="104"/>
      <c r="C401" s="104"/>
      <c r="D401" s="104"/>
      <c r="E401" s="104"/>
      <c r="F401" s="104"/>
      <c r="G401" s="104"/>
      <c r="H401" s="104"/>
    </row>
    <row r="402" spans="1:8" ht="12.75" customHeight="1">
      <c r="A402" s="104"/>
      <c r="B402" s="104"/>
      <c r="C402" s="104"/>
      <c r="D402" s="104"/>
      <c r="E402" s="104"/>
      <c r="F402" s="104"/>
      <c r="G402" s="104"/>
      <c r="H402" s="104"/>
    </row>
    <row r="403" spans="1:8" ht="12.75" customHeight="1">
      <c r="A403" s="104"/>
      <c r="B403" s="104"/>
      <c r="C403" s="104"/>
      <c r="D403" s="104"/>
      <c r="E403" s="104"/>
      <c r="F403" s="104"/>
      <c r="G403" s="104"/>
      <c r="H403" s="104"/>
    </row>
    <row r="404" spans="1:8" ht="12.75" customHeight="1">
      <c r="A404" s="104"/>
      <c r="B404" s="104"/>
      <c r="C404" s="104"/>
      <c r="D404" s="104"/>
      <c r="E404" s="104"/>
      <c r="F404" s="104"/>
      <c r="G404" s="104"/>
      <c r="H404" s="104"/>
    </row>
    <row r="405" spans="1:8" ht="12.75" customHeight="1">
      <c r="A405" s="104"/>
      <c r="B405" s="104"/>
      <c r="C405" s="104"/>
      <c r="D405" s="104"/>
      <c r="E405" s="104"/>
      <c r="F405" s="104"/>
      <c r="G405" s="104"/>
      <c r="H405" s="104"/>
    </row>
    <row r="406" spans="1:8" ht="12.75" customHeight="1">
      <c r="A406" s="104"/>
      <c r="B406" s="104"/>
      <c r="C406" s="104"/>
      <c r="D406" s="104"/>
      <c r="E406" s="104"/>
      <c r="F406" s="104"/>
      <c r="G406" s="104"/>
      <c r="H406" s="104"/>
    </row>
    <row r="407" spans="1:8" ht="12.75" customHeight="1">
      <c r="A407" s="104"/>
      <c r="B407" s="104"/>
      <c r="C407" s="104"/>
      <c r="D407" s="104"/>
      <c r="E407" s="104"/>
      <c r="F407" s="104"/>
      <c r="G407" s="104"/>
      <c r="H407" s="104"/>
    </row>
    <row r="408" spans="1:8" ht="12.75" customHeight="1">
      <c r="A408" s="104"/>
      <c r="B408" s="104"/>
      <c r="C408" s="104"/>
      <c r="D408" s="104"/>
      <c r="E408" s="104"/>
      <c r="F408" s="104"/>
      <c r="G408" s="104"/>
      <c r="H408" s="104"/>
    </row>
    <row r="409" spans="1:8" ht="12.75" customHeight="1">
      <c r="A409" s="104"/>
      <c r="B409" s="104"/>
      <c r="C409" s="104"/>
      <c r="D409" s="104"/>
      <c r="E409" s="104"/>
      <c r="F409" s="104"/>
      <c r="G409" s="104"/>
      <c r="H409" s="104"/>
    </row>
    <row r="410" spans="1:8" ht="12.75" customHeight="1">
      <c r="A410" s="104"/>
      <c r="B410" s="104"/>
      <c r="C410" s="104"/>
      <c r="D410" s="104"/>
      <c r="E410" s="104"/>
      <c r="F410" s="104"/>
      <c r="G410" s="104"/>
      <c r="H410" s="104"/>
    </row>
    <row r="411" spans="1:8" ht="12.75" customHeight="1">
      <c r="A411" s="104"/>
      <c r="B411" s="104"/>
      <c r="C411" s="104"/>
      <c r="D411" s="104"/>
      <c r="E411" s="104"/>
      <c r="F411" s="104"/>
      <c r="G411" s="104"/>
      <c r="H411" s="104"/>
    </row>
    <row r="412" spans="1:8" ht="12.75" customHeight="1">
      <c r="A412" s="104"/>
      <c r="B412" s="104"/>
      <c r="C412" s="104"/>
      <c r="D412" s="104"/>
      <c r="E412" s="104"/>
      <c r="F412" s="104"/>
      <c r="G412" s="104"/>
      <c r="H412" s="104"/>
    </row>
    <row r="413" spans="1:8" ht="12.75" customHeight="1">
      <c r="A413" s="104"/>
      <c r="B413" s="104"/>
      <c r="C413" s="104"/>
      <c r="D413" s="104"/>
      <c r="E413" s="104"/>
      <c r="F413" s="104"/>
      <c r="G413" s="104"/>
      <c r="H413" s="104"/>
    </row>
    <row r="414" spans="1:8" ht="12.75" customHeight="1">
      <c r="A414" s="104"/>
      <c r="B414" s="104"/>
      <c r="C414" s="104"/>
      <c r="D414" s="104"/>
      <c r="E414" s="104"/>
      <c r="F414" s="104"/>
      <c r="G414" s="104"/>
      <c r="H414" s="104"/>
    </row>
    <row r="415" spans="1:8" ht="12.75" customHeight="1">
      <c r="A415" s="104"/>
      <c r="B415" s="104"/>
      <c r="C415" s="104"/>
      <c r="D415" s="104"/>
      <c r="E415" s="104"/>
      <c r="F415" s="104"/>
      <c r="G415" s="104"/>
      <c r="H415" s="104"/>
    </row>
    <row r="416" spans="1:8" ht="12.75" customHeight="1">
      <c r="A416" s="104"/>
      <c r="B416" s="104"/>
      <c r="C416" s="104"/>
      <c r="D416" s="104"/>
      <c r="E416" s="104"/>
      <c r="F416" s="104"/>
      <c r="G416" s="104"/>
      <c r="H416" s="104"/>
    </row>
    <row r="417" spans="1:8" ht="12.75" customHeight="1">
      <c r="A417" s="104"/>
      <c r="B417" s="104"/>
      <c r="C417" s="104"/>
      <c r="D417" s="104"/>
      <c r="E417" s="104"/>
      <c r="F417" s="104"/>
      <c r="G417" s="104"/>
      <c r="H417" s="104"/>
    </row>
    <row r="418" spans="1:8" ht="12.75" customHeight="1">
      <c r="A418" s="104"/>
      <c r="B418" s="104"/>
      <c r="C418" s="104"/>
      <c r="D418" s="104"/>
      <c r="E418" s="104"/>
      <c r="F418" s="104"/>
      <c r="G418" s="104"/>
      <c r="H418" s="104"/>
    </row>
    <row r="419" spans="1:8" ht="12.75" customHeight="1">
      <c r="A419" s="104"/>
      <c r="B419" s="104"/>
      <c r="C419" s="104"/>
      <c r="D419" s="104"/>
      <c r="E419" s="104"/>
      <c r="F419" s="104"/>
      <c r="G419" s="104"/>
      <c r="H419" s="104"/>
    </row>
    <row r="420" spans="1:8" ht="12.75" customHeight="1">
      <c r="A420" s="104"/>
      <c r="B420" s="104"/>
      <c r="C420" s="104"/>
      <c r="D420" s="104"/>
      <c r="E420" s="104"/>
      <c r="F420" s="104"/>
      <c r="G420" s="104"/>
      <c r="H420" s="104"/>
    </row>
    <row r="421" spans="1:8" ht="12.75" customHeight="1">
      <c r="A421" s="104"/>
      <c r="B421" s="104"/>
      <c r="C421" s="104"/>
      <c r="D421" s="104"/>
      <c r="E421" s="104"/>
      <c r="F421" s="104"/>
      <c r="G421" s="104"/>
      <c r="H421" s="104"/>
    </row>
    <row r="422" spans="1:8" ht="12.75" customHeight="1">
      <c r="A422" s="104"/>
      <c r="B422" s="104"/>
      <c r="C422" s="104"/>
      <c r="D422" s="104"/>
      <c r="E422" s="104"/>
      <c r="F422" s="104"/>
      <c r="G422" s="104"/>
      <c r="H422" s="104"/>
    </row>
    <row r="423" spans="1:8" ht="12.75" customHeight="1">
      <c r="A423" s="104"/>
      <c r="B423" s="104"/>
      <c r="C423" s="104"/>
      <c r="D423" s="104"/>
      <c r="E423" s="104"/>
      <c r="F423" s="104"/>
      <c r="G423" s="104"/>
      <c r="H423" s="104"/>
    </row>
    <row r="424" spans="1:8" ht="12.75" customHeight="1">
      <c r="A424" s="104"/>
      <c r="B424" s="104"/>
      <c r="C424" s="104"/>
      <c r="D424" s="104"/>
      <c r="E424" s="104"/>
      <c r="F424" s="104"/>
      <c r="G424" s="104"/>
      <c r="H424" s="104"/>
    </row>
    <row r="425" spans="1:8" ht="12.75" customHeight="1">
      <c r="A425" s="104"/>
      <c r="B425" s="104"/>
      <c r="C425" s="104"/>
      <c r="D425" s="104"/>
      <c r="E425" s="104"/>
      <c r="F425" s="104"/>
      <c r="G425" s="104"/>
      <c r="H425" s="104"/>
    </row>
    <row r="426" spans="1:8" ht="12.75" customHeight="1">
      <c r="A426" s="104"/>
      <c r="B426" s="104"/>
      <c r="C426" s="104"/>
      <c r="D426" s="104"/>
      <c r="E426" s="104"/>
      <c r="F426" s="104"/>
      <c r="G426" s="104"/>
      <c r="H426" s="104"/>
    </row>
    <row r="427" spans="1:8" ht="12.75" customHeight="1">
      <c r="A427" s="104"/>
      <c r="B427" s="104"/>
      <c r="C427" s="104"/>
      <c r="D427" s="104"/>
      <c r="E427" s="104"/>
      <c r="F427" s="104"/>
      <c r="G427" s="104"/>
      <c r="H427" s="104"/>
    </row>
    <row r="428" spans="1:8" ht="12.75" customHeight="1">
      <c r="A428" s="104"/>
      <c r="B428" s="104"/>
      <c r="C428" s="104"/>
      <c r="D428" s="104"/>
      <c r="E428" s="104"/>
      <c r="F428" s="104"/>
      <c r="G428" s="104"/>
      <c r="H428" s="104"/>
    </row>
    <row r="429" spans="1:8" ht="12.75" customHeight="1">
      <c r="A429" s="104"/>
      <c r="B429" s="104"/>
      <c r="C429" s="104"/>
      <c r="D429" s="104"/>
      <c r="E429" s="104"/>
      <c r="F429" s="104"/>
      <c r="G429" s="104"/>
      <c r="H429" s="104"/>
    </row>
    <row r="430" spans="1:8" ht="12.75" customHeight="1">
      <c r="A430" s="104"/>
      <c r="B430" s="104"/>
      <c r="C430" s="104"/>
      <c r="D430" s="104"/>
      <c r="E430" s="104"/>
      <c r="F430" s="104"/>
      <c r="G430" s="104"/>
      <c r="H430" s="104"/>
    </row>
    <row r="431" spans="1:8" ht="12.75" customHeight="1">
      <c r="A431" s="104"/>
      <c r="B431" s="104"/>
      <c r="C431" s="104"/>
      <c r="D431" s="104"/>
      <c r="E431" s="104"/>
      <c r="F431" s="104"/>
      <c r="G431" s="104"/>
      <c r="H431" s="104"/>
    </row>
    <row r="432" spans="1:8" ht="12.75" customHeight="1">
      <c r="A432" s="104"/>
      <c r="B432" s="104"/>
      <c r="C432" s="104"/>
      <c r="D432" s="104"/>
      <c r="E432" s="104"/>
      <c r="F432" s="104"/>
      <c r="G432" s="104"/>
      <c r="H432" s="104"/>
    </row>
    <row r="433" spans="1:8" ht="12.75" customHeight="1">
      <c r="A433" s="104"/>
      <c r="B433" s="104"/>
      <c r="C433" s="104"/>
      <c r="D433" s="104"/>
      <c r="E433" s="104"/>
      <c r="F433" s="104"/>
      <c r="G433" s="104"/>
      <c r="H433" s="104"/>
    </row>
    <row r="434" spans="1:8" ht="12.75" customHeight="1">
      <c r="A434" s="104"/>
      <c r="B434" s="104"/>
      <c r="C434" s="104"/>
      <c r="D434" s="104"/>
      <c r="E434" s="104"/>
      <c r="F434" s="104"/>
      <c r="G434" s="104"/>
      <c r="H434" s="104"/>
    </row>
    <row r="435" spans="1:8" ht="12.75" customHeight="1">
      <c r="A435" s="104"/>
      <c r="B435" s="104"/>
      <c r="C435" s="104"/>
      <c r="D435" s="104"/>
      <c r="E435" s="104"/>
      <c r="F435" s="104"/>
      <c r="G435" s="104"/>
      <c r="H435" s="104"/>
    </row>
    <row r="436" spans="1:8" ht="12.75" customHeight="1">
      <c r="A436" s="104"/>
      <c r="B436" s="104"/>
      <c r="C436" s="104"/>
      <c r="D436" s="104"/>
      <c r="E436" s="104"/>
      <c r="F436" s="104"/>
      <c r="G436" s="104"/>
      <c r="H436" s="104"/>
    </row>
    <row r="437" spans="1:8" ht="12.75" customHeight="1">
      <c r="A437" s="104"/>
      <c r="B437" s="104"/>
      <c r="C437" s="104"/>
      <c r="D437" s="104"/>
      <c r="E437" s="104"/>
      <c r="F437" s="104"/>
      <c r="G437" s="104"/>
      <c r="H437" s="104"/>
    </row>
    <row r="438" spans="1:8" ht="12.75" customHeight="1">
      <c r="A438" s="104"/>
      <c r="B438" s="104"/>
      <c r="C438" s="104"/>
      <c r="D438" s="104"/>
      <c r="E438" s="104"/>
      <c r="F438" s="104"/>
      <c r="G438" s="104"/>
      <c r="H438" s="104"/>
    </row>
    <row r="439" spans="1:8" ht="12.75" customHeight="1">
      <c r="A439" s="104"/>
      <c r="B439" s="104"/>
      <c r="C439" s="104"/>
      <c r="D439" s="104"/>
      <c r="E439" s="104"/>
      <c r="F439" s="104"/>
      <c r="G439" s="104"/>
      <c r="H439" s="104"/>
    </row>
    <row r="440" spans="1:8" ht="12.75" customHeight="1">
      <c r="A440" s="104"/>
      <c r="B440" s="104"/>
      <c r="C440" s="104"/>
      <c r="D440" s="104"/>
      <c r="E440" s="104"/>
      <c r="F440" s="104"/>
      <c r="G440" s="104"/>
      <c r="H440" s="104"/>
    </row>
    <row r="441" spans="1:8" ht="12.75" customHeight="1">
      <c r="A441" s="104"/>
      <c r="B441" s="104"/>
      <c r="C441" s="104"/>
      <c r="D441" s="104"/>
      <c r="E441" s="104"/>
      <c r="F441" s="104"/>
      <c r="G441" s="104"/>
      <c r="H441" s="104"/>
    </row>
    <row r="442" spans="1:8" ht="12.75" customHeight="1">
      <c r="A442" s="104"/>
      <c r="B442" s="104"/>
      <c r="C442" s="104"/>
      <c r="D442" s="104"/>
      <c r="E442" s="104"/>
      <c r="F442" s="104"/>
      <c r="G442" s="104"/>
      <c r="H442" s="104"/>
    </row>
    <row r="443" spans="1:8" ht="12.75" customHeight="1">
      <c r="A443" s="104"/>
      <c r="B443" s="104"/>
      <c r="C443" s="104"/>
      <c r="D443" s="104"/>
      <c r="E443" s="104"/>
      <c r="F443" s="104"/>
      <c r="G443" s="104"/>
      <c r="H443" s="104"/>
    </row>
    <row r="444" spans="1:8" ht="12.75" customHeight="1">
      <c r="A444" s="104"/>
      <c r="B444" s="104"/>
      <c r="C444" s="104"/>
      <c r="D444" s="104"/>
      <c r="E444" s="104"/>
      <c r="F444" s="104"/>
      <c r="G444" s="104"/>
      <c r="H444" s="104"/>
    </row>
    <row r="445" spans="1:8" ht="12.75" customHeight="1">
      <c r="A445" s="104"/>
      <c r="B445" s="104"/>
      <c r="C445" s="104"/>
      <c r="D445" s="104"/>
      <c r="E445" s="104"/>
      <c r="F445" s="104"/>
      <c r="G445" s="104"/>
      <c r="H445" s="104"/>
    </row>
    <row r="446" spans="1:8" ht="12.75" customHeight="1">
      <c r="A446" s="104"/>
      <c r="B446" s="104"/>
      <c r="C446" s="104"/>
      <c r="D446" s="104"/>
      <c r="E446" s="104"/>
      <c r="F446" s="104"/>
      <c r="G446" s="104"/>
      <c r="H446" s="104"/>
    </row>
    <row r="447" spans="1:8" ht="12.75" customHeight="1">
      <c r="A447" s="104"/>
      <c r="B447" s="104"/>
      <c r="C447" s="104"/>
      <c r="D447" s="104"/>
      <c r="E447" s="104"/>
      <c r="F447" s="104"/>
      <c r="G447" s="104"/>
      <c r="H447" s="104"/>
    </row>
    <row r="448" spans="1:8" ht="12.75" customHeight="1">
      <c r="A448" s="104"/>
      <c r="B448" s="104"/>
      <c r="C448" s="104"/>
      <c r="D448" s="104"/>
      <c r="E448" s="104"/>
      <c r="F448" s="104"/>
      <c r="G448" s="104"/>
      <c r="H448" s="104"/>
    </row>
    <row r="449" spans="1:8" ht="12.75" customHeight="1">
      <c r="A449" s="104"/>
      <c r="B449" s="104"/>
      <c r="C449" s="104"/>
      <c r="D449" s="104"/>
      <c r="E449" s="104"/>
      <c r="F449" s="104"/>
      <c r="G449" s="104"/>
      <c r="H449" s="104"/>
    </row>
    <row r="450" spans="1:8" ht="12.75" customHeight="1">
      <c r="A450" s="104"/>
      <c r="B450" s="104"/>
      <c r="C450" s="104"/>
      <c r="D450" s="104"/>
      <c r="E450" s="104"/>
      <c r="F450" s="104"/>
      <c r="G450" s="104"/>
      <c r="H450" s="104"/>
    </row>
    <row r="451" spans="1:8" ht="12.75" customHeight="1">
      <c r="A451" s="104"/>
      <c r="B451" s="104"/>
      <c r="C451" s="104"/>
      <c r="D451" s="104"/>
      <c r="E451" s="104"/>
      <c r="F451" s="104"/>
      <c r="G451" s="104"/>
      <c r="H451" s="104"/>
    </row>
    <row r="452" spans="1:8" ht="12.75" customHeight="1">
      <c r="A452" s="104"/>
      <c r="B452" s="104"/>
      <c r="C452" s="104"/>
      <c r="D452" s="104"/>
      <c r="E452" s="104"/>
      <c r="F452" s="104"/>
      <c r="G452" s="104"/>
      <c r="H452" s="104"/>
    </row>
    <row r="453" spans="1:8" ht="12.75" customHeight="1">
      <c r="A453" s="104"/>
      <c r="B453" s="104"/>
      <c r="C453" s="104"/>
      <c r="D453" s="104"/>
      <c r="E453" s="104"/>
      <c r="F453" s="104"/>
      <c r="G453" s="104"/>
      <c r="H453" s="104"/>
    </row>
    <row r="454" spans="1:8" ht="12.75" customHeight="1">
      <c r="A454" s="104"/>
      <c r="B454" s="104"/>
      <c r="C454" s="104"/>
      <c r="D454" s="104"/>
      <c r="E454" s="104"/>
      <c r="F454" s="104"/>
      <c r="G454" s="104"/>
      <c r="H454" s="104"/>
    </row>
    <row r="455" spans="1:8" ht="12.75" customHeight="1">
      <c r="A455" s="104"/>
      <c r="B455" s="104"/>
      <c r="C455" s="104"/>
      <c r="D455" s="104"/>
      <c r="E455" s="104"/>
      <c r="F455" s="104"/>
      <c r="G455" s="104"/>
      <c r="H455" s="104"/>
    </row>
    <row r="456" spans="1:8" ht="12.75" customHeight="1">
      <c r="A456" s="104"/>
      <c r="B456" s="104"/>
      <c r="C456" s="104"/>
      <c r="D456" s="104"/>
      <c r="E456" s="104"/>
      <c r="F456" s="104"/>
      <c r="G456" s="104"/>
      <c r="H456" s="104"/>
    </row>
    <row r="457" spans="1:8" ht="12.75" customHeight="1">
      <c r="A457" s="104"/>
      <c r="B457" s="104"/>
      <c r="C457" s="104"/>
      <c r="D457" s="104"/>
      <c r="E457" s="104"/>
      <c r="F457" s="104"/>
      <c r="G457" s="104"/>
      <c r="H457" s="104"/>
    </row>
    <row r="458" spans="1:8" ht="12.75" customHeight="1">
      <c r="A458" s="104"/>
      <c r="B458" s="104"/>
      <c r="C458" s="104"/>
      <c r="D458" s="104"/>
      <c r="E458" s="104"/>
      <c r="F458" s="104"/>
      <c r="G458" s="104"/>
      <c r="H458" s="104"/>
    </row>
    <row r="459" spans="1:8" ht="12.75" customHeight="1">
      <c r="A459" s="104"/>
      <c r="B459" s="104"/>
      <c r="C459" s="104"/>
      <c r="D459" s="104"/>
      <c r="E459" s="104"/>
      <c r="F459" s="104"/>
      <c r="G459" s="104"/>
      <c r="H459" s="104"/>
    </row>
    <row r="460" spans="1:8" ht="12.75" customHeight="1">
      <c r="A460" s="104"/>
      <c r="B460" s="104"/>
      <c r="C460" s="104"/>
      <c r="D460" s="104"/>
      <c r="E460" s="104"/>
      <c r="F460" s="104"/>
      <c r="G460" s="104"/>
      <c r="H460" s="104"/>
    </row>
    <row r="461" spans="1:8" ht="12.75" customHeight="1">
      <c r="A461" s="104"/>
      <c r="B461" s="104"/>
      <c r="C461" s="104"/>
      <c r="D461" s="104"/>
      <c r="E461" s="104"/>
      <c r="F461" s="104"/>
      <c r="G461" s="104"/>
      <c r="H461" s="104"/>
    </row>
    <row r="462" spans="1:8" ht="12.75" customHeight="1">
      <c r="A462" s="104"/>
      <c r="B462" s="104"/>
      <c r="C462" s="104"/>
      <c r="D462" s="104"/>
      <c r="E462" s="104"/>
      <c r="F462" s="104"/>
      <c r="G462" s="104"/>
      <c r="H462" s="104"/>
    </row>
    <row r="463" spans="1:8" ht="12.75" customHeight="1">
      <c r="A463" s="104"/>
      <c r="B463" s="104"/>
      <c r="C463" s="104"/>
      <c r="D463" s="104"/>
      <c r="E463" s="104"/>
      <c r="F463" s="104"/>
      <c r="G463" s="104"/>
      <c r="H463" s="104"/>
    </row>
    <row r="464" spans="1:8" ht="12.75" customHeight="1">
      <c r="A464" s="104"/>
      <c r="B464" s="104"/>
      <c r="C464" s="104"/>
      <c r="D464" s="104"/>
      <c r="E464" s="104"/>
      <c r="F464" s="104"/>
      <c r="G464" s="104"/>
      <c r="H464" s="104"/>
    </row>
    <row r="465" spans="1:8" ht="12.75" customHeight="1">
      <c r="A465" s="104"/>
      <c r="B465" s="104"/>
      <c r="C465" s="104"/>
      <c r="D465" s="104"/>
      <c r="E465" s="104"/>
      <c r="F465" s="104"/>
      <c r="G465" s="104"/>
      <c r="H465" s="104"/>
    </row>
    <row r="466" spans="1:8" ht="12.75" customHeight="1">
      <c r="A466" s="104"/>
      <c r="B466" s="104"/>
      <c r="C466" s="104"/>
      <c r="D466" s="104"/>
      <c r="E466" s="104"/>
      <c r="F466" s="104"/>
      <c r="G466" s="104"/>
      <c r="H466" s="104"/>
    </row>
    <row r="467" spans="1:8" ht="12.75" customHeight="1">
      <c r="A467" s="104"/>
      <c r="B467" s="104"/>
      <c r="C467" s="104"/>
      <c r="D467" s="104"/>
      <c r="E467" s="104"/>
      <c r="F467" s="104"/>
      <c r="G467" s="104"/>
      <c r="H467" s="104"/>
    </row>
    <row r="468" spans="1:8" ht="12.75" customHeight="1">
      <c r="A468" s="104"/>
      <c r="B468" s="104"/>
      <c r="C468" s="104"/>
      <c r="D468" s="104"/>
      <c r="E468" s="104"/>
      <c r="F468" s="104"/>
      <c r="G468" s="104"/>
      <c r="H468" s="104"/>
    </row>
    <row r="469" spans="1:8" ht="12.75" customHeight="1">
      <c r="A469" s="104"/>
      <c r="B469" s="104"/>
      <c r="C469" s="104"/>
      <c r="D469" s="104"/>
      <c r="E469" s="104"/>
      <c r="F469" s="104"/>
      <c r="G469" s="104"/>
      <c r="H469" s="104"/>
    </row>
    <row r="470" spans="1:8" ht="12.75" customHeight="1">
      <c r="A470" s="104"/>
      <c r="B470" s="104"/>
      <c r="C470" s="104"/>
      <c r="D470" s="104"/>
      <c r="E470" s="104"/>
      <c r="F470" s="104"/>
      <c r="G470" s="104"/>
      <c r="H470" s="104"/>
    </row>
    <row r="471" spans="1:8" ht="12.75" customHeight="1">
      <c r="A471" s="104"/>
      <c r="B471" s="104"/>
      <c r="C471" s="104"/>
      <c r="D471" s="104"/>
      <c r="E471" s="104"/>
      <c r="F471" s="104"/>
      <c r="G471" s="104"/>
      <c r="H471" s="104"/>
    </row>
    <row r="472" spans="1:8" ht="12.75" customHeight="1">
      <c r="A472" s="104"/>
      <c r="B472" s="104"/>
      <c r="C472" s="104"/>
      <c r="D472" s="104"/>
      <c r="E472" s="104"/>
      <c r="F472" s="104"/>
      <c r="G472" s="104"/>
      <c r="H472" s="104"/>
    </row>
    <row r="473" spans="1:8" ht="12.75" customHeight="1">
      <c r="A473" s="104"/>
      <c r="B473" s="104"/>
      <c r="C473" s="104"/>
      <c r="D473" s="104"/>
      <c r="E473" s="104"/>
      <c r="F473" s="104"/>
      <c r="G473" s="104"/>
      <c r="H473" s="104"/>
    </row>
    <row r="474" spans="1:8" ht="12.75" customHeight="1">
      <c r="A474" s="104"/>
      <c r="B474" s="104"/>
      <c r="C474" s="104"/>
      <c r="D474" s="104"/>
      <c r="E474" s="104"/>
      <c r="F474" s="104"/>
      <c r="G474" s="104"/>
      <c r="H474" s="104"/>
    </row>
    <row r="475" spans="1:8" ht="12.75" customHeight="1">
      <c r="A475" s="104"/>
      <c r="B475" s="104"/>
      <c r="C475" s="104"/>
      <c r="D475" s="104"/>
      <c r="E475" s="104"/>
      <c r="F475" s="104"/>
      <c r="G475" s="104"/>
      <c r="H475" s="104"/>
    </row>
    <row r="476" spans="1:8" ht="12.75" customHeight="1">
      <c r="A476" s="104"/>
      <c r="B476" s="104"/>
      <c r="C476" s="104"/>
      <c r="D476" s="104"/>
      <c r="E476" s="104"/>
      <c r="F476" s="104"/>
      <c r="G476" s="104"/>
      <c r="H476" s="104"/>
    </row>
    <row r="477" spans="1:8" ht="12.75" customHeight="1">
      <c r="A477" s="104"/>
      <c r="B477" s="104"/>
      <c r="C477" s="104"/>
      <c r="D477" s="104"/>
      <c r="E477" s="104"/>
      <c r="F477" s="104"/>
      <c r="G477" s="104"/>
      <c r="H477" s="104"/>
    </row>
    <row r="478" spans="1:8" ht="12.75" customHeight="1">
      <c r="A478" s="104"/>
      <c r="B478" s="104"/>
      <c r="C478" s="104"/>
      <c r="D478" s="104"/>
      <c r="E478" s="104"/>
      <c r="F478" s="104"/>
      <c r="G478" s="104"/>
      <c r="H478" s="104"/>
    </row>
    <row r="479" spans="1:8" ht="12.75" customHeight="1">
      <c r="A479" s="104"/>
      <c r="B479" s="104"/>
      <c r="C479" s="104"/>
      <c r="D479" s="104"/>
      <c r="E479" s="104"/>
      <c r="F479" s="104"/>
      <c r="G479" s="104"/>
      <c r="H479" s="104"/>
    </row>
    <row r="480" spans="1:8" ht="12.75" customHeight="1">
      <c r="A480" s="104"/>
      <c r="B480" s="104"/>
      <c r="C480" s="104"/>
      <c r="D480" s="104"/>
      <c r="E480" s="104"/>
      <c r="F480" s="104"/>
      <c r="G480" s="104"/>
      <c r="H480" s="104"/>
    </row>
    <row r="481" spans="1:8" ht="12.75" customHeight="1">
      <c r="A481" s="104"/>
      <c r="B481" s="104"/>
      <c r="C481" s="104"/>
      <c r="D481" s="104"/>
      <c r="E481" s="104"/>
      <c r="F481" s="104"/>
      <c r="G481" s="104"/>
      <c r="H481" s="104"/>
    </row>
    <row r="482" spans="1:8" ht="12.75" customHeight="1">
      <c r="A482" s="104"/>
      <c r="B482" s="104"/>
      <c r="C482" s="104"/>
      <c r="D482" s="104"/>
      <c r="E482" s="104"/>
      <c r="F482" s="104"/>
      <c r="G482" s="104"/>
      <c r="H482" s="104"/>
    </row>
    <row r="483" spans="1:8" ht="12.75" customHeight="1">
      <c r="A483" s="104"/>
      <c r="B483" s="104"/>
      <c r="C483" s="104"/>
      <c r="D483" s="104"/>
      <c r="E483" s="104"/>
      <c r="F483" s="104"/>
      <c r="G483" s="104"/>
      <c r="H483" s="104"/>
    </row>
    <row r="484" spans="1:8" ht="12.75" customHeight="1">
      <c r="A484" s="104"/>
      <c r="B484" s="104"/>
      <c r="C484" s="104"/>
      <c r="D484" s="104"/>
      <c r="E484" s="104"/>
      <c r="F484" s="104"/>
      <c r="G484" s="104"/>
      <c r="H484" s="104"/>
    </row>
    <row r="485" spans="1:8" ht="12.75" customHeight="1">
      <c r="A485" s="104"/>
      <c r="B485" s="104"/>
      <c r="C485" s="104"/>
      <c r="D485" s="104"/>
      <c r="E485" s="104"/>
      <c r="F485" s="104"/>
      <c r="G485" s="104"/>
      <c r="H485" s="104"/>
    </row>
    <row r="486" spans="1:8" ht="12.75" customHeight="1">
      <c r="A486" s="104"/>
      <c r="B486" s="104"/>
      <c r="C486" s="104"/>
      <c r="D486" s="104"/>
      <c r="E486" s="104"/>
      <c r="F486" s="104"/>
      <c r="G486" s="104"/>
      <c r="H486" s="104"/>
    </row>
    <row r="487" spans="1:8" ht="12.75" customHeight="1">
      <c r="A487" s="104"/>
      <c r="B487" s="104"/>
      <c r="C487" s="104"/>
      <c r="D487" s="104"/>
      <c r="E487" s="104"/>
      <c r="F487" s="104"/>
      <c r="G487" s="104"/>
      <c r="H487" s="104"/>
    </row>
    <row r="488" spans="1:8" ht="12.75" customHeight="1">
      <c r="A488" s="104"/>
      <c r="B488" s="104"/>
      <c r="C488" s="104"/>
      <c r="D488" s="104"/>
      <c r="E488" s="104"/>
      <c r="F488" s="104"/>
      <c r="G488" s="104"/>
      <c r="H488" s="104"/>
    </row>
    <row r="489" spans="1:8" ht="12.75" customHeight="1">
      <c r="A489" s="104"/>
      <c r="B489" s="104"/>
      <c r="C489" s="104"/>
      <c r="D489" s="104"/>
      <c r="E489" s="104"/>
      <c r="F489" s="104"/>
      <c r="G489" s="104"/>
      <c r="H489" s="104"/>
    </row>
    <row r="490" spans="1:8" ht="12.75" customHeight="1">
      <c r="A490" s="104"/>
      <c r="B490" s="104"/>
      <c r="C490" s="104"/>
      <c r="D490" s="104"/>
      <c r="E490" s="104"/>
      <c r="F490" s="104"/>
      <c r="G490" s="104"/>
      <c r="H490" s="104"/>
    </row>
    <row r="491" spans="1:8" ht="12.75" customHeight="1">
      <c r="A491" s="104"/>
      <c r="B491" s="104"/>
      <c r="C491" s="104"/>
      <c r="D491" s="104"/>
      <c r="E491" s="104"/>
      <c r="F491" s="104"/>
      <c r="G491" s="104"/>
      <c r="H491" s="104"/>
    </row>
    <row r="492" spans="1:8" ht="12.75" customHeight="1">
      <c r="A492" s="104"/>
      <c r="B492" s="104"/>
      <c r="C492" s="104"/>
      <c r="D492" s="104"/>
      <c r="E492" s="104"/>
      <c r="F492" s="104"/>
      <c r="G492" s="104"/>
      <c r="H492" s="104"/>
    </row>
    <row r="493" spans="1:8" ht="12.75" customHeight="1">
      <c r="A493" s="104"/>
      <c r="B493" s="104"/>
      <c r="C493" s="104"/>
      <c r="D493" s="104"/>
      <c r="E493" s="104"/>
      <c r="F493" s="104"/>
      <c r="G493" s="104"/>
      <c r="H493" s="104"/>
    </row>
    <row r="494" spans="1:8" ht="12.75" customHeight="1">
      <c r="A494" s="104"/>
      <c r="B494" s="104"/>
      <c r="C494" s="104"/>
      <c r="D494" s="104"/>
      <c r="E494" s="104"/>
      <c r="F494" s="104"/>
      <c r="G494" s="104"/>
      <c r="H494" s="104"/>
    </row>
    <row r="495" spans="1:8" ht="12.75" customHeight="1">
      <c r="A495" s="104"/>
      <c r="B495" s="104"/>
      <c r="C495" s="104"/>
      <c r="D495" s="104"/>
      <c r="E495" s="104"/>
      <c r="F495" s="104"/>
      <c r="G495" s="104"/>
      <c r="H495" s="104"/>
    </row>
    <row r="496" spans="1:8" ht="12.75" customHeight="1">
      <c r="A496" s="104"/>
      <c r="B496" s="104"/>
      <c r="C496" s="104"/>
      <c r="D496" s="104"/>
      <c r="E496" s="104"/>
      <c r="F496" s="104"/>
      <c r="G496" s="104"/>
      <c r="H496" s="104"/>
    </row>
    <row r="497" spans="1:8" ht="12.75" customHeight="1">
      <c r="A497" s="104"/>
      <c r="B497" s="104"/>
      <c r="C497" s="104"/>
      <c r="D497" s="104"/>
      <c r="E497" s="104"/>
      <c r="F497" s="104"/>
      <c r="G497" s="104"/>
      <c r="H497" s="104"/>
    </row>
    <row r="498" spans="1:8" ht="12.75" customHeight="1">
      <c r="A498" s="104"/>
      <c r="B498" s="104"/>
      <c r="C498" s="104"/>
      <c r="D498" s="104"/>
      <c r="E498" s="104"/>
      <c r="F498" s="104"/>
      <c r="G498" s="104"/>
      <c r="H498" s="104"/>
    </row>
    <row r="499" spans="1:8" ht="12.75" customHeight="1">
      <c r="A499" s="104"/>
      <c r="B499" s="104"/>
      <c r="C499" s="104"/>
      <c r="D499" s="104"/>
      <c r="E499" s="104"/>
      <c r="F499" s="104"/>
      <c r="G499" s="104"/>
      <c r="H499" s="104"/>
    </row>
    <row r="500" spans="1:8" ht="12.75" customHeight="1">
      <c r="A500" s="104"/>
      <c r="B500" s="104"/>
      <c r="C500" s="104"/>
      <c r="D500" s="104"/>
      <c r="E500" s="104"/>
      <c r="F500" s="104"/>
      <c r="G500" s="104"/>
      <c r="H500" s="104"/>
    </row>
    <row r="501" spans="1:8" ht="12.75" customHeight="1">
      <c r="A501" s="104"/>
      <c r="B501" s="104"/>
      <c r="C501" s="104"/>
      <c r="D501" s="104"/>
      <c r="E501" s="104"/>
      <c r="F501" s="104"/>
      <c r="G501" s="104"/>
      <c r="H501" s="104"/>
    </row>
    <row r="502" spans="1:8" ht="12.75" customHeight="1">
      <c r="A502" s="104"/>
      <c r="B502" s="104"/>
      <c r="C502" s="104"/>
      <c r="D502" s="104"/>
      <c r="E502" s="104"/>
      <c r="F502" s="104"/>
      <c r="G502" s="104"/>
      <c r="H502" s="104"/>
    </row>
    <row r="503" spans="1:8" ht="12.75" customHeight="1">
      <c r="A503" s="104"/>
      <c r="B503" s="104"/>
      <c r="C503" s="104"/>
      <c r="D503" s="104"/>
      <c r="E503" s="104"/>
      <c r="F503" s="104"/>
      <c r="G503" s="104"/>
      <c r="H503" s="104"/>
    </row>
    <row r="504" spans="1:8" ht="12.75" customHeight="1">
      <c r="A504" s="104"/>
      <c r="B504" s="104"/>
      <c r="C504" s="104"/>
      <c r="D504" s="104"/>
      <c r="E504" s="104"/>
      <c r="F504" s="104"/>
      <c r="G504" s="104"/>
      <c r="H504" s="104"/>
    </row>
    <row r="505" spans="1:8" ht="12.75" customHeight="1">
      <c r="A505" s="104"/>
      <c r="B505" s="104"/>
      <c r="C505" s="104"/>
      <c r="D505" s="104"/>
      <c r="E505" s="104"/>
      <c r="F505" s="104"/>
      <c r="G505" s="104"/>
      <c r="H505" s="104"/>
    </row>
    <row r="506" spans="1:8" ht="12.75" customHeight="1">
      <c r="A506" s="104"/>
      <c r="B506" s="104"/>
      <c r="C506" s="104"/>
      <c r="D506" s="104"/>
      <c r="E506" s="104"/>
      <c r="F506" s="104"/>
      <c r="G506" s="104"/>
      <c r="H506" s="104"/>
    </row>
    <row r="507" spans="1:8" ht="12.75" customHeight="1">
      <c r="A507" s="104"/>
      <c r="B507" s="104"/>
      <c r="C507" s="104"/>
      <c r="D507" s="104"/>
      <c r="E507" s="104"/>
      <c r="F507" s="104"/>
      <c r="G507" s="104"/>
      <c r="H507" s="104"/>
    </row>
    <row r="508" spans="1:8" ht="12.75" customHeight="1">
      <c r="A508" s="104"/>
      <c r="B508" s="104"/>
      <c r="C508" s="104"/>
      <c r="D508" s="104"/>
      <c r="E508" s="104"/>
      <c r="F508" s="104"/>
      <c r="G508" s="104"/>
      <c r="H508" s="104"/>
    </row>
    <row r="509" spans="1:8" ht="12.75" customHeight="1">
      <c r="A509" s="104"/>
      <c r="B509" s="104"/>
      <c r="C509" s="104"/>
      <c r="D509" s="104"/>
      <c r="E509" s="104"/>
      <c r="F509" s="104"/>
      <c r="G509" s="104"/>
      <c r="H509" s="104"/>
    </row>
    <row r="510" spans="1:8" ht="12.75" customHeight="1">
      <c r="A510" s="104"/>
      <c r="B510" s="104"/>
      <c r="C510" s="104"/>
      <c r="D510" s="104"/>
      <c r="E510" s="104"/>
      <c r="F510" s="104"/>
      <c r="G510" s="104"/>
      <c r="H510" s="104"/>
    </row>
    <row r="511" spans="1:8" ht="12.75" customHeight="1">
      <c r="A511" s="104"/>
      <c r="B511" s="104"/>
      <c r="C511" s="104"/>
      <c r="D511" s="104"/>
      <c r="E511" s="104"/>
      <c r="F511" s="104"/>
      <c r="G511" s="104"/>
      <c r="H511" s="104"/>
    </row>
    <row r="512" spans="1:8" ht="12.75" customHeight="1">
      <c r="A512" s="104"/>
      <c r="B512" s="104"/>
      <c r="C512" s="104"/>
      <c r="D512" s="104"/>
      <c r="E512" s="104"/>
      <c r="F512" s="104"/>
      <c r="G512" s="104"/>
      <c r="H512" s="104"/>
    </row>
    <row r="513" spans="1:8" ht="12.75" customHeight="1">
      <c r="A513" s="104"/>
      <c r="B513" s="104"/>
      <c r="C513" s="104"/>
      <c r="D513" s="104"/>
      <c r="E513" s="104"/>
      <c r="F513" s="104"/>
      <c r="G513" s="104"/>
      <c r="H513" s="104"/>
    </row>
    <row r="514" spans="1:8" ht="12.75" customHeight="1">
      <c r="A514" s="104"/>
      <c r="B514" s="104"/>
      <c r="C514" s="104"/>
      <c r="D514" s="104"/>
      <c r="E514" s="104"/>
      <c r="F514" s="104"/>
      <c r="G514" s="104"/>
      <c r="H514" s="104"/>
    </row>
    <row r="515" spans="1:8" ht="12.75" customHeight="1">
      <c r="A515" s="104"/>
      <c r="B515" s="104"/>
      <c r="C515" s="104"/>
      <c r="D515" s="104"/>
      <c r="E515" s="104"/>
      <c r="F515" s="104"/>
      <c r="G515" s="104"/>
      <c r="H515" s="104"/>
    </row>
    <row r="516" spans="1:8" ht="12.75" customHeight="1">
      <c r="A516" s="104"/>
      <c r="B516" s="104"/>
      <c r="C516" s="104"/>
      <c r="D516" s="104"/>
      <c r="E516" s="104"/>
      <c r="F516" s="104"/>
      <c r="G516" s="104"/>
      <c r="H516" s="104"/>
    </row>
    <row r="517" spans="1:8" ht="12.75" customHeight="1">
      <c r="A517" s="104"/>
      <c r="B517" s="104"/>
      <c r="C517" s="104"/>
      <c r="D517" s="104"/>
      <c r="E517" s="104"/>
      <c r="F517" s="104"/>
      <c r="G517" s="104"/>
      <c r="H517" s="104"/>
    </row>
    <row r="518" spans="1:8" ht="12.75" customHeight="1">
      <c r="A518" s="104"/>
      <c r="B518" s="104"/>
      <c r="C518" s="104"/>
      <c r="D518" s="104"/>
      <c r="E518" s="104"/>
      <c r="F518" s="104"/>
      <c r="G518" s="104"/>
      <c r="H518" s="104"/>
    </row>
    <row r="519" spans="1:8" ht="12.75" customHeight="1">
      <c r="A519" s="104"/>
      <c r="B519" s="104"/>
      <c r="C519" s="104"/>
      <c r="D519" s="104"/>
      <c r="E519" s="104"/>
      <c r="F519" s="104"/>
      <c r="G519" s="104"/>
      <c r="H519" s="104"/>
    </row>
    <row r="520" spans="1:8" ht="12.75" customHeight="1">
      <c r="A520" s="104"/>
      <c r="B520" s="104"/>
      <c r="C520" s="104"/>
      <c r="D520" s="104"/>
      <c r="E520" s="104"/>
      <c r="F520" s="104"/>
      <c r="G520" s="104"/>
      <c r="H520" s="104"/>
    </row>
    <row r="521" spans="1:8" ht="12.75" customHeight="1">
      <c r="A521" s="104"/>
      <c r="B521" s="104"/>
      <c r="C521" s="104"/>
      <c r="D521" s="104"/>
      <c r="E521" s="104"/>
      <c r="F521" s="104"/>
      <c r="G521" s="104"/>
      <c r="H521" s="104"/>
    </row>
    <row r="522" spans="1:8" ht="12.75" customHeight="1">
      <c r="A522" s="104"/>
      <c r="B522" s="104"/>
      <c r="C522" s="104"/>
      <c r="D522" s="104"/>
      <c r="E522" s="104"/>
      <c r="F522" s="104"/>
      <c r="G522" s="104"/>
      <c r="H522" s="104"/>
    </row>
    <row r="523" spans="1:8" ht="12.75" customHeight="1">
      <c r="A523" s="104"/>
      <c r="B523" s="104"/>
      <c r="C523" s="104"/>
      <c r="D523" s="104"/>
      <c r="E523" s="104"/>
      <c r="F523" s="104"/>
      <c r="G523" s="104"/>
      <c r="H523" s="104"/>
    </row>
    <row r="524" spans="1:8" ht="12.75" customHeight="1">
      <c r="A524" s="104"/>
      <c r="B524" s="104"/>
      <c r="C524" s="104"/>
      <c r="D524" s="104"/>
      <c r="E524" s="104"/>
      <c r="F524" s="104"/>
      <c r="G524" s="104"/>
      <c r="H524" s="104"/>
    </row>
    <row r="525" spans="1:8" ht="12.75" customHeight="1">
      <c r="A525" s="104"/>
      <c r="B525" s="104"/>
      <c r="C525" s="104"/>
      <c r="D525" s="104"/>
      <c r="E525" s="104"/>
      <c r="F525" s="104"/>
      <c r="G525" s="104"/>
      <c r="H525" s="104"/>
    </row>
    <row r="526" spans="1:8" ht="12.75" customHeight="1">
      <c r="A526" s="104"/>
      <c r="B526" s="104"/>
      <c r="C526" s="104"/>
      <c r="D526" s="104"/>
      <c r="E526" s="104"/>
      <c r="F526" s="104"/>
      <c r="G526" s="104"/>
      <c r="H526" s="104"/>
    </row>
    <row r="527" spans="1:8" ht="12.75" customHeight="1">
      <c r="A527" s="104"/>
      <c r="B527" s="104"/>
      <c r="C527" s="104"/>
      <c r="D527" s="104"/>
      <c r="E527" s="104"/>
      <c r="F527" s="104"/>
      <c r="G527" s="104"/>
      <c r="H527" s="104"/>
    </row>
    <row r="528" spans="1:8" ht="12.75" customHeight="1">
      <c r="A528" s="104"/>
      <c r="B528" s="104"/>
      <c r="C528" s="104"/>
      <c r="D528" s="104"/>
      <c r="E528" s="104"/>
      <c r="F528" s="104"/>
      <c r="G528" s="104"/>
      <c r="H528" s="104"/>
    </row>
    <row r="529" spans="1:8" ht="12.75" customHeight="1">
      <c r="A529" s="104"/>
      <c r="B529" s="104"/>
      <c r="C529" s="104"/>
      <c r="D529" s="104"/>
      <c r="E529" s="104"/>
      <c r="F529" s="104"/>
      <c r="G529" s="104"/>
      <c r="H529" s="104"/>
    </row>
    <row r="530" spans="1:8" ht="12.75" customHeight="1">
      <c r="A530" s="104"/>
      <c r="B530" s="104"/>
      <c r="C530" s="104"/>
      <c r="D530" s="104"/>
      <c r="E530" s="104"/>
      <c r="F530" s="104"/>
      <c r="G530" s="104"/>
      <c r="H530" s="104"/>
    </row>
    <row r="531" spans="1:8" ht="12.75" customHeight="1">
      <c r="A531" s="104"/>
      <c r="B531" s="104"/>
      <c r="C531" s="104"/>
      <c r="D531" s="104"/>
      <c r="E531" s="104"/>
      <c r="F531" s="104"/>
      <c r="G531" s="104"/>
      <c r="H531" s="104"/>
    </row>
    <row r="532" spans="1:8" ht="12.75" customHeight="1">
      <c r="A532" s="104"/>
      <c r="B532" s="104"/>
      <c r="C532" s="104"/>
      <c r="D532" s="104"/>
      <c r="E532" s="104"/>
      <c r="F532" s="104"/>
      <c r="G532" s="104"/>
      <c r="H532" s="104"/>
    </row>
    <row r="533" spans="1:8" ht="12.75" customHeight="1">
      <c r="A533" s="104"/>
      <c r="B533" s="104"/>
      <c r="C533" s="104"/>
      <c r="D533" s="104"/>
      <c r="E533" s="104"/>
      <c r="F533" s="104"/>
      <c r="G533" s="104"/>
      <c r="H533" s="104"/>
    </row>
    <row r="534" spans="1:8" ht="12.75" customHeight="1">
      <c r="A534" s="104"/>
      <c r="B534" s="104"/>
      <c r="C534" s="104"/>
      <c r="D534" s="104"/>
      <c r="E534" s="104"/>
      <c r="F534" s="104"/>
      <c r="G534" s="104"/>
      <c r="H534" s="104"/>
    </row>
    <row r="535" spans="1:8" ht="12.75" customHeight="1">
      <c r="A535" s="104"/>
      <c r="B535" s="104"/>
      <c r="C535" s="104"/>
      <c r="D535" s="104"/>
      <c r="E535" s="104"/>
      <c r="F535" s="104"/>
      <c r="G535" s="104"/>
      <c r="H535" s="104"/>
    </row>
    <row r="536" spans="1:8" ht="12.75" customHeight="1">
      <c r="A536" s="104"/>
      <c r="B536" s="104"/>
      <c r="C536" s="104"/>
      <c r="D536" s="104"/>
      <c r="E536" s="104"/>
      <c r="F536" s="104"/>
      <c r="G536" s="104"/>
      <c r="H536" s="104"/>
    </row>
    <row r="537" spans="1:8" ht="12.75" customHeight="1">
      <c r="A537" s="104"/>
      <c r="B537" s="104"/>
      <c r="C537" s="104"/>
      <c r="D537" s="104"/>
      <c r="E537" s="104"/>
      <c r="F537" s="104"/>
      <c r="G537" s="104"/>
      <c r="H537" s="104"/>
    </row>
    <row r="538" spans="1:8" ht="12.75" customHeight="1">
      <c r="A538" s="104"/>
      <c r="B538" s="104"/>
      <c r="C538" s="104"/>
      <c r="D538" s="104"/>
      <c r="E538" s="104"/>
      <c r="F538" s="104"/>
      <c r="G538" s="104"/>
      <c r="H538" s="104"/>
    </row>
    <row r="539" spans="1:8" ht="12.75" customHeight="1">
      <c r="A539" s="104"/>
      <c r="B539" s="104"/>
      <c r="C539" s="104"/>
      <c r="D539" s="104"/>
      <c r="E539" s="104"/>
      <c r="F539" s="104"/>
      <c r="G539" s="104"/>
      <c r="H539" s="104"/>
    </row>
    <row r="540" spans="1:8" ht="12.75" customHeight="1">
      <c r="A540" s="104"/>
      <c r="B540" s="104"/>
      <c r="C540" s="104"/>
      <c r="D540" s="104"/>
      <c r="E540" s="104"/>
      <c r="F540" s="104"/>
      <c r="G540" s="104"/>
      <c r="H540" s="104"/>
    </row>
    <row r="541" spans="1:8" ht="12.75" customHeight="1">
      <c r="A541" s="104"/>
      <c r="B541" s="104"/>
      <c r="C541" s="104"/>
      <c r="D541" s="104"/>
      <c r="E541" s="104"/>
      <c r="F541" s="104"/>
      <c r="G541" s="104"/>
      <c r="H541" s="104"/>
    </row>
    <row r="542" spans="1:8" ht="12.75" customHeight="1">
      <c r="A542" s="104"/>
      <c r="B542" s="104"/>
      <c r="C542" s="104"/>
      <c r="D542" s="104"/>
      <c r="E542" s="104"/>
      <c r="F542" s="104"/>
      <c r="G542" s="104"/>
      <c r="H542" s="104"/>
    </row>
    <row r="543" spans="1:8" ht="12.75" customHeight="1">
      <c r="A543" s="104"/>
      <c r="B543" s="104"/>
      <c r="C543" s="104"/>
      <c r="D543" s="104"/>
      <c r="E543" s="104"/>
      <c r="F543" s="104"/>
      <c r="G543" s="104"/>
      <c r="H543" s="104"/>
    </row>
    <row r="544" spans="1:8" ht="12.75" customHeight="1">
      <c r="A544" s="104"/>
      <c r="B544" s="104"/>
      <c r="C544" s="104"/>
      <c r="D544" s="104"/>
      <c r="E544" s="104"/>
      <c r="F544" s="104"/>
      <c r="G544" s="104"/>
      <c r="H544" s="104"/>
    </row>
    <row r="545" spans="1:8" ht="12.75" customHeight="1">
      <c r="A545" s="104"/>
      <c r="B545" s="104"/>
      <c r="C545" s="104"/>
      <c r="D545" s="104"/>
      <c r="E545" s="104"/>
      <c r="F545" s="104"/>
      <c r="G545" s="104"/>
      <c r="H545" s="104"/>
    </row>
    <row r="546" spans="1:8" ht="12.75" customHeight="1">
      <c r="A546" s="104"/>
      <c r="B546" s="104"/>
      <c r="C546" s="104"/>
      <c r="D546" s="104"/>
      <c r="E546" s="104"/>
      <c r="F546" s="104"/>
      <c r="G546" s="104"/>
      <c r="H546" s="104"/>
    </row>
    <row r="547" spans="1:8" ht="12.75" customHeight="1">
      <c r="A547" s="104"/>
      <c r="B547" s="104"/>
      <c r="C547" s="104"/>
      <c r="D547" s="104"/>
      <c r="E547" s="104"/>
      <c r="F547" s="104"/>
      <c r="G547" s="104"/>
      <c r="H547" s="104"/>
    </row>
    <row r="548" spans="1:8" ht="12.75" customHeight="1">
      <c r="A548" s="104"/>
      <c r="B548" s="104"/>
      <c r="C548" s="104"/>
      <c r="D548" s="104"/>
      <c r="E548" s="104"/>
      <c r="F548" s="104"/>
      <c r="G548" s="104"/>
      <c r="H548" s="104"/>
    </row>
    <row r="549" spans="1:8" ht="12.75" customHeight="1">
      <c r="A549" s="104"/>
      <c r="B549" s="104"/>
      <c r="C549" s="104"/>
      <c r="D549" s="104"/>
      <c r="E549" s="104"/>
      <c r="F549" s="104"/>
      <c r="G549" s="104"/>
      <c r="H549" s="104"/>
    </row>
    <row r="550" spans="1:8" ht="12.75" customHeight="1">
      <c r="A550" s="104"/>
      <c r="B550" s="104"/>
      <c r="C550" s="104"/>
      <c r="D550" s="104"/>
      <c r="E550" s="104"/>
      <c r="F550" s="104"/>
      <c r="G550" s="104"/>
      <c r="H550" s="104"/>
    </row>
    <row r="551" spans="1:8" ht="12.75" customHeight="1">
      <c r="A551" s="104"/>
      <c r="B551" s="104"/>
      <c r="C551" s="104"/>
      <c r="D551" s="104"/>
      <c r="E551" s="104"/>
      <c r="F551" s="104"/>
      <c r="G551" s="104"/>
      <c r="H551" s="104"/>
    </row>
    <row r="552" spans="1:8" ht="12.75" customHeight="1">
      <c r="A552" s="104"/>
      <c r="B552" s="104"/>
      <c r="C552" s="104"/>
      <c r="D552" s="104"/>
      <c r="E552" s="104"/>
      <c r="F552" s="104"/>
      <c r="G552" s="104"/>
      <c r="H552" s="104"/>
    </row>
    <row r="553" spans="1:8" ht="12.75" customHeight="1">
      <c r="A553" s="104"/>
      <c r="B553" s="104"/>
      <c r="C553" s="104"/>
      <c r="D553" s="104"/>
      <c r="E553" s="104"/>
      <c r="F553" s="104"/>
      <c r="G553" s="104"/>
      <c r="H553" s="104"/>
    </row>
    <row r="554" spans="1:8" ht="12.75" customHeight="1">
      <c r="A554" s="104"/>
      <c r="B554" s="104"/>
      <c r="C554" s="104"/>
      <c r="D554" s="104"/>
      <c r="E554" s="104"/>
      <c r="F554" s="104"/>
      <c r="G554" s="104"/>
      <c r="H554" s="104"/>
    </row>
    <row r="555" spans="1:8" ht="12.75" customHeight="1">
      <c r="A555" s="104"/>
      <c r="B555" s="104"/>
      <c r="C555" s="104"/>
      <c r="D555" s="104"/>
      <c r="E555" s="104"/>
      <c r="F555" s="104"/>
      <c r="G555" s="104"/>
      <c r="H555" s="104"/>
    </row>
    <row r="556" spans="1:8" ht="12.75" customHeight="1">
      <c r="A556" s="104"/>
      <c r="B556" s="104"/>
      <c r="C556" s="104"/>
      <c r="D556" s="104"/>
      <c r="E556" s="104"/>
      <c r="F556" s="104"/>
      <c r="G556" s="104"/>
      <c r="H556" s="104"/>
    </row>
    <row r="557" spans="1:8" ht="12.75" customHeight="1">
      <c r="A557" s="104"/>
      <c r="B557" s="104"/>
      <c r="C557" s="104"/>
      <c r="D557" s="104"/>
      <c r="E557" s="104"/>
      <c r="F557" s="104"/>
      <c r="G557" s="104"/>
      <c r="H557" s="104"/>
    </row>
    <row r="558" spans="1:8" ht="12.75" customHeight="1">
      <c r="A558" s="104"/>
      <c r="B558" s="104"/>
      <c r="C558" s="104"/>
      <c r="D558" s="104"/>
      <c r="E558" s="104"/>
      <c r="F558" s="104"/>
      <c r="G558" s="104"/>
      <c r="H558" s="104"/>
    </row>
    <row r="559" spans="1:8" ht="12.75" customHeight="1">
      <c r="A559" s="104"/>
      <c r="B559" s="104"/>
      <c r="C559" s="104"/>
      <c r="D559" s="104"/>
      <c r="E559" s="104"/>
      <c r="F559" s="104"/>
      <c r="G559" s="104"/>
      <c r="H559" s="104"/>
    </row>
    <row r="560" spans="1:8" ht="12.75" customHeight="1">
      <c r="A560" s="104"/>
      <c r="B560" s="104"/>
      <c r="C560" s="104"/>
      <c r="D560" s="104"/>
      <c r="E560" s="104"/>
      <c r="F560" s="104"/>
      <c r="G560" s="104"/>
      <c r="H560" s="104"/>
    </row>
    <row r="561" spans="1:8" ht="12.75" customHeight="1">
      <c r="A561" s="104"/>
      <c r="B561" s="104"/>
      <c r="C561" s="104"/>
      <c r="D561" s="104"/>
      <c r="E561" s="104"/>
      <c r="F561" s="104"/>
      <c r="G561" s="104"/>
      <c r="H561" s="104"/>
    </row>
    <row r="562" spans="1:8" ht="12.75" customHeight="1">
      <c r="A562" s="104"/>
      <c r="B562" s="104"/>
      <c r="C562" s="104"/>
      <c r="D562" s="104"/>
      <c r="E562" s="104"/>
      <c r="F562" s="104"/>
      <c r="G562" s="104"/>
      <c r="H562" s="104"/>
    </row>
    <row r="563" spans="1:8" ht="12.75" customHeight="1">
      <c r="A563" s="104"/>
      <c r="B563" s="104"/>
      <c r="C563" s="104"/>
      <c r="D563" s="104"/>
      <c r="E563" s="104"/>
      <c r="F563" s="104"/>
      <c r="G563" s="104"/>
      <c r="H563" s="104"/>
    </row>
    <row r="564" spans="1:8" ht="12.75" customHeight="1">
      <c r="A564" s="104"/>
      <c r="B564" s="104"/>
      <c r="C564" s="104"/>
      <c r="D564" s="104"/>
      <c r="E564" s="104"/>
      <c r="F564" s="104"/>
      <c r="G564" s="104"/>
      <c r="H564" s="104"/>
    </row>
    <row r="565" spans="1:8" ht="12.75" customHeight="1">
      <c r="A565" s="104"/>
      <c r="B565" s="104"/>
      <c r="C565" s="104"/>
      <c r="D565" s="104"/>
      <c r="E565" s="104"/>
      <c r="F565" s="104"/>
      <c r="G565" s="104"/>
      <c r="H565" s="104"/>
    </row>
    <row r="566" spans="1:8" ht="12.75" customHeight="1">
      <c r="A566" s="104"/>
      <c r="B566" s="104"/>
      <c r="C566" s="104"/>
      <c r="D566" s="104"/>
      <c r="E566" s="104"/>
      <c r="F566" s="104"/>
      <c r="G566" s="104"/>
      <c r="H566" s="104"/>
    </row>
    <row r="567" spans="1:8" ht="12.75" customHeight="1">
      <c r="A567" s="104"/>
      <c r="B567" s="104"/>
      <c r="C567" s="104"/>
      <c r="D567" s="104"/>
      <c r="E567" s="104"/>
      <c r="F567" s="104"/>
      <c r="G567" s="104"/>
      <c r="H567" s="104"/>
    </row>
    <row r="568" spans="1:8" ht="12.75" customHeight="1">
      <c r="A568" s="104"/>
      <c r="B568" s="104"/>
      <c r="C568" s="104"/>
      <c r="D568" s="104"/>
      <c r="E568" s="104"/>
      <c r="F568" s="104"/>
      <c r="G568" s="104"/>
      <c r="H568" s="104"/>
    </row>
    <row r="569" spans="1:8" ht="12.75" customHeight="1">
      <c r="A569" s="104"/>
      <c r="B569" s="104"/>
      <c r="C569" s="104"/>
      <c r="D569" s="104"/>
      <c r="E569" s="104"/>
      <c r="F569" s="104"/>
      <c r="G569" s="104"/>
      <c r="H569" s="104"/>
    </row>
    <row r="570" spans="1:8" ht="12.75" customHeight="1">
      <c r="A570" s="104"/>
      <c r="B570" s="104"/>
      <c r="C570" s="104"/>
      <c r="D570" s="104"/>
      <c r="E570" s="104"/>
      <c r="F570" s="104"/>
      <c r="G570" s="104"/>
      <c r="H570" s="104"/>
    </row>
    <row r="571" spans="1:8" ht="12.75" customHeight="1">
      <c r="A571" s="104"/>
      <c r="B571" s="104"/>
      <c r="C571" s="104"/>
      <c r="D571" s="104"/>
      <c r="E571" s="104"/>
      <c r="F571" s="104"/>
      <c r="G571" s="104"/>
      <c r="H571" s="104"/>
    </row>
    <row r="572" spans="1:8" ht="12.75" customHeight="1">
      <c r="A572" s="104"/>
      <c r="B572" s="104"/>
      <c r="C572" s="104"/>
      <c r="D572" s="104"/>
      <c r="E572" s="104"/>
      <c r="F572" s="104"/>
      <c r="G572" s="104"/>
      <c r="H572" s="104"/>
    </row>
    <row r="573" spans="1:8" ht="12.75" customHeight="1">
      <c r="A573" s="104"/>
      <c r="B573" s="104"/>
      <c r="C573" s="104"/>
      <c r="D573" s="104"/>
      <c r="E573" s="104"/>
      <c r="F573" s="104"/>
      <c r="G573" s="104"/>
      <c r="H573" s="104"/>
    </row>
    <row r="574" spans="1:8" ht="12.75" customHeight="1">
      <c r="A574" s="104"/>
      <c r="B574" s="104"/>
      <c r="C574" s="104"/>
      <c r="D574" s="104"/>
      <c r="E574" s="104"/>
      <c r="F574" s="104"/>
      <c r="G574" s="104"/>
      <c r="H574" s="104"/>
    </row>
    <row r="575" spans="1:8" ht="12.75" customHeight="1">
      <c r="A575" s="104"/>
      <c r="B575" s="104"/>
      <c r="C575" s="104"/>
      <c r="D575" s="104"/>
      <c r="E575" s="104"/>
      <c r="F575" s="104"/>
      <c r="G575" s="104"/>
      <c r="H575" s="104"/>
    </row>
    <row r="576" spans="1:8" ht="12.75" customHeight="1">
      <c r="A576" s="104"/>
      <c r="B576" s="104"/>
      <c r="C576" s="104"/>
      <c r="D576" s="104"/>
      <c r="E576" s="104"/>
      <c r="F576" s="104"/>
      <c r="G576" s="104"/>
      <c r="H576" s="104"/>
    </row>
    <row r="577" spans="1:8" ht="12.75" customHeight="1">
      <c r="A577" s="104"/>
      <c r="B577" s="104"/>
      <c r="C577" s="104"/>
      <c r="D577" s="104"/>
      <c r="E577" s="104"/>
      <c r="F577" s="104"/>
      <c r="G577" s="104"/>
      <c r="H577" s="104"/>
    </row>
    <row r="578" spans="1:8" ht="12.75" customHeight="1">
      <c r="A578" s="104"/>
      <c r="B578" s="104"/>
      <c r="C578" s="104"/>
      <c r="D578" s="104"/>
      <c r="E578" s="104"/>
      <c r="F578" s="104"/>
      <c r="G578" s="104"/>
      <c r="H578" s="104"/>
    </row>
    <row r="579" spans="1:8" ht="12.75" customHeight="1">
      <c r="A579" s="104"/>
      <c r="B579" s="104"/>
      <c r="C579" s="104"/>
      <c r="D579" s="104"/>
      <c r="E579" s="104"/>
      <c r="F579" s="104"/>
      <c r="G579" s="104"/>
      <c r="H579" s="104"/>
    </row>
    <row r="580" spans="1:8" ht="12.75" customHeight="1">
      <c r="A580" s="104"/>
      <c r="B580" s="104"/>
      <c r="C580" s="104"/>
      <c r="D580" s="104"/>
      <c r="E580" s="104"/>
      <c r="F580" s="104"/>
      <c r="G580" s="104"/>
      <c r="H580" s="104"/>
    </row>
    <row r="581" spans="1:8" ht="12.75" customHeight="1">
      <c r="A581" s="104"/>
      <c r="B581" s="104"/>
      <c r="C581" s="104"/>
      <c r="D581" s="104"/>
      <c r="E581" s="104"/>
      <c r="F581" s="104"/>
      <c r="G581" s="104"/>
      <c r="H581" s="104"/>
    </row>
    <row r="582" spans="1:8" ht="12.75" customHeight="1">
      <c r="A582" s="104"/>
      <c r="B582" s="104"/>
      <c r="C582" s="104"/>
      <c r="D582" s="104"/>
      <c r="E582" s="104"/>
      <c r="F582" s="104"/>
      <c r="G582" s="104"/>
      <c r="H582" s="104"/>
    </row>
    <row r="583" spans="1:8" ht="12.75" customHeight="1">
      <c r="A583" s="104"/>
      <c r="B583" s="104"/>
      <c r="C583" s="104"/>
      <c r="D583" s="104"/>
      <c r="E583" s="104"/>
      <c r="F583" s="104"/>
      <c r="G583" s="104"/>
      <c r="H583" s="104"/>
    </row>
    <row r="584" spans="1:8" ht="12.75" customHeight="1">
      <c r="A584" s="104"/>
      <c r="B584" s="104"/>
      <c r="C584" s="104"/>
      <c r="D584" s="104"/>
      <c r="E584" s="104"/>
      <c r="F584" s="104"/>
      <c r="G584" s="104"/>
      <c r="H584" s="104"/>
    </row>
    <row r="585" spans="1:8" ht="12.75" customHeight="1">
      <c r="A585" s="104"/>
      <c r="B585" s="104"/>
      <c r="C585" s="104"/>
      <c r="D585" s="104"/>
      <c r="E585" s="104"/>
      <c r="F585" s="104"/>
      <c r="G585" s="104"/>
      <c r="H585" s="104"/>
    </row>
    <row r="586" spans="1:8" ht="12.75" customHeight="1">
      <c r="A586" s="104"/>
      <c r="B586" s="104"/>
      <c r="C586" s="104"/>
      <c r="D586" s="104"/>
      <c r="E586" s="104"/>
      <c r="F586" s="104"/>
      <c r="G586" s="104"/>
      <c r="H586" s="104"/>
    </row>
    <row r="587" spans="1:8" ht="12.75" customHeight="1">
      <c r="A587" s="104"/>
      <c r="B587" s="104"/>
      <c r="C587" s="104"/>
      <c r="D587" s="104"/>
      <c r="E587" s="104"/>
      <c r="F587" s="104"/>
      <c r="G587" s="104"/>
      <c r="H587" s="104"/>
    </row>
    <row r="588" spans="1:8" ht="12.75" customHeight="1">
      <c r="A588" s="104"/>
      <c r="B588" s="104"/>
      <c r="C588" s="104"/>
      <c r="D588" s="104"/>
      <c r="E588" s="104"/>
      <c r="F588" s="104"/>
      <c r="G588" s="104"/>
      <c r="H588" s="104"/>
    </row>
    <row r="589" spans="1:8" ht="12.75" customHeight="1">
      <c r="A589" s="104"/>
      <c r="B589" s="104"/>
      <c r="C589" s="104"/>
      <c r="D589" s="104"/>
      <c r="E589" s="104"/>
      <c r="F589" s="104"/>
      <c r="G589" s="104"/>
      <c r="H589" s="104"/>
    </row>
    <row r="590" spans="1:8" ht="12.75" customHeight="1">
      <c r="A590" s="104"/>
      <c r="B590" s="104"/>
      <c r="C590" s="104"/>
      <c r="D590" s="104"/>
      <c r="E590" s="104"/>
      <c r="F590" s="104"/>
      <c r="G590" s="104"/>
      <c r="H590" s="104"/>
    </row>
    <row r="591" spans="1:8" ht="12.75" customHeight="1">
      <c r="A591" s="104"/>
      <c r="B591" s="104"/>
      <c r="C591" s="104"/>
      <c r="D591" s="104"/>
      <c r="E591" s="104"/>
      <c r="F591" s="104"/>
      <c r="G591" s="104"/>
      <c r="H591" s="104"/>
    </row>
    <row r="592" spans="1:8" ht="12.75" customHeight="1">
      <c r="A592" s="104"/>
      <c r="B592" s="104"/>
      <c r="C592" s="104"/>
      <c r="D592" s="104"/>
      <c r="E592" s="104"/>
      <c r="F592" s="104"/>
      <c r="G592" s="104"/>
      <c r="H592" s="104"/>
    </row>
    <row r="593" spans="1:8" ht="12.75" customHeight="1">
      <c r="A593" s="104"/>
      <c r="B593" s="104"/>
      <c r="C593" s="104"/>
      <c r="D593" s="104"/>
      <c r="E593" s="104"/>
      <c r="F593" s="104"/>
      <c r="G593" s="104"/>
      <c r="H593" s="104"/>
    </row>
    <row r="594" spans="1:8" ht="12.75" customHeight="1">
      <c r="A594" s="104"/>
      <c r="B594" s="104"/>
      <c r="C594" s="104"/>
      <c r="D594" s="104"/>
      <c r="E594" s="104"/>
      <c r="F594" s="104"/>
      <c r="G594" s="104"/>
      <c r="H594" s="104"/>
    </row>
    <row r="595" spans="1:8" ht="12.75" customHeight="1">
      <c r="A595" s="104"/>
      <c r="B595" s="104"/>
      <c r="C595" s="104"/>
      <c r="D595" s="104"/>
      <c r="E595" s="104"/>
      <c r="F595" s="104"/>
      <c r="G595" s="104"/>
      <c r="H595" s="104"/>
    </row>
    <row r="596" spans="1:8" ht="12.75" customHeight="1">
      <c r="A596" s="104"/>
      <c r="B596" s="104"/>
      <c r="C596" s="104"/>
      <c r="D596" s="104"/>
      <c r="E596" s="104"/>
      <c r="F596" s="104"/>
      <c r="G596" s="104"/>
      <c r="H596" s="104"/>
    </row>
    <row r="597" spans="1:8" ht="12.75" customHeight="1">
      <c r="A597" s="104"/>
      <c r="B597" s="104"/>
      <c r="C597" s="104"/>
      <c r="D597" s="104"/>
      <c r="E597" s="104"/>
      <c r="F597" s="104"/>
      <c r="G597" s="104"/>
      <c r="H597" s="104"/>
    </row>
    <row r="598" spans="1:8" ht="12.75" customHeight="1">
      <c r="A598" s="104"/>
      <c r="B598" s="104"/>
      <c r="C598" s="104"/>
      <c r="D598" s="104"/>
      <c r="E598" s="104"/>
      <c r="F598" s="104"/>
      <c r="G598" s="104"/>
      <c r="H598" s="104"/>
    </row>
    <row r="599" spans="1:8" ht="12.75" customHeight="1">
      <c r="A599" s="104"/>
      <c r="B599" s="104"/>
      <c r="C599" s="104"/>
      <c r="D599" s="104"/>
      <c r="E599" s="104"/>
      <c r="F599" s="104"/>
      <c r="G599" s="104"/>
      <c r="H599" s="104"/>
    </row>
    <row r="600" spans="1:8" ht="12.75" customHeight="1">
      <c r="A600" s="104"/>
      <c r="B600" s="104"/>
      <c r="C600" s="104"/>
      <c r="D600" s="104"/>
      <c r="E600" s="104"/>
      <c r="F600" s="104"/>
      <c r="G600" s="104"/>
      <c r="H600" s="104"/>
    </row>
    <row r="601" spans="1:8" ht="12.75" customHeight="1">
      <c r="A601" s="104"/>
      <c r="B601" s="104"/>
      <c r="C601" s="104"/>
      <c r="D601" s="104"/>
      <c r="E601" s="104"/>
      <c r="F601" s="104"/>
      <c r="G601" s="104"/>
      <c r="H601" s="104"/>
    </row>
    <row r="602" spans="1:8" ht="12.75" customHeight="1">
      <c r="A602" s="104"/>
      <c r="B602" s="104"/>
      <c r="C602" s="104"/>
      <c r="D602" s="104"/>
      <c r="E602" s="104"/>
      <c r="F602" s="104"/>
      <c r="G602" s="104"/>
      <c r="H602" s="104"/>
    </row>
    <row r="603" spans="1:8" ht="12.75" customHeight="1">
      <c r="A603" s="104"/>
      <c r="B603" s="104"/>
      <c r="C603" s="104"/>
      <c r="D603" s="104"/>
      <c r="E603" s="104"/>
      <c r="F603" s="104"/>
      <c r="G603" s="104"/>
      <c r="H603" s="104"/>
    </row>
    <row r="604" spans="1:8" ht="12.75" customHeight="1">
      <c r="A604" s="104"/>
      <c r="B604" s="104"/>
      <c r="C604" s="104"/>
      <c r="D604" s="104"/>
      <c r="E604" s="104"/>
      <c r="F604" s="104"/>
      <c r="G604" s="104"/>
      <c r="H604" s="104"/>
    </row>
    <row r="605" spans="1:8" ht="12.75" customHeight="1">
      <c r="A605" s="104"/>
      <c r="B605" s="104"/>
      <c r="C605" s="104"/>
      <c r="D605" s="104"/>
      <c r="E605" s="104"/>
      <c r="F605" s="104"/>
      <c r="G605" s="104"/>
      <c r="H605" s="104"/>
    </row>
    <row r="606" spans="1:8" ht="12.75" customHeight="1">
      <c r="A606" s="104"/>
      <c r="B606" s="104"/>
      <c r="C606" s="104"/>
      <c r="D606" s="104"/>
      <c r="E606" s="104"/>
      <c r="F606" s="104"/>
      <c r="G606" s="104"/>
      <c r="H606" s="104"/>
    </row>
    <row r="607" spans="1:8" ht="12.75" customHeight="1">
      <c r="A607" s="104"/>
      <c r="B607" s="104"/>
      <c r="C607" s="104"/>
      <c r="D607" s="104"/>
      <c r="E607" s="104"/>
      <c r="F607" s="104"/>
      <c r="G607" s="104"/>
      <c r="H607" s="104"/>
    </row>
    <row r="608" spans="1:8" ht="12.75" customHeight="1">
      <c r="A608" s="104"/>
      <c r="B608" s="104"/>
      <c r="C608" s="104"/>
      <c r="D608" s="104"/>
      <c r="E608" s="104"/>
      <c r="F608" s="104"/>
      <c r="G608" s="104"/>
      <c r="H608" s="104"/>
    </row>
    <row r="609" spans="1:8" ht="12.75" customHeight="1">
      <c r="A609" s="104"/>
      <c r="B609" s="104"/>
      <c r="C609" s="104"/>
      <c r="D609" s="104"/>
      <c r="E609" s="104"/>
      <c r="F609" s="104"/>
      <c r="G609" s="104"/>
      <c r="H609" s="104"/>
    </row>
    <row r="610" spans="1:8" ht="12.75" customHeight="1">
      <c r="A610" s="104"/>
      <c r="B610" s="104"/>
      <c r="C610" s="104"/>
      <c r="D610" s="104"/>
      <c r="E610" s="104"/>
      <c r="F610" s="104"/>
      <c r="G610" s="104"/>
      <c r="H610" s="104"/>
    </row>
    <row r="611" spans="1:8" ht="12.75" customHeight="1">
      <c r="A611" s="104"/>
      <c r="B611" s="104"/>
      <c r="C611" s="104"/>
      <c r="D611" s="104"/>
      <c r="E611" s="104"/>
      <c r="F611" s="104"/>
      <c r="G611" s="104"/>
      <c r="H611" s="104"/>
    </row>
    <row r="612" spans="1:8" ht="12.75" customHeight="1">
      <c r="A612" s="104"/>
      <c r="B612" s="104"/>
      <c r="C612" s="104"/>
      <c r="D612" s="104"/>
      <c r="E612" s="104"/>
      <c r="F612" s="104"/>
      <c r="G612" s="104"/>
      <c r="H612" s="104"/>
    </row>
    <row r="613" spans="1:8" ht="12.75" customHeight="1">
      <c r="A613" s="104"/>
      <c r="B613" s="104"/>
      <c r="C613" s="104"/>
      <c r="D613" s="104"/>
      <c r="E613" s="104"/>
      <c r="F613" s="104"/>
      <c r="G613" s="104"/>
      <c r="H613" s="104"/>
    </row>
    <row r="614" spans="1:8" ht="12.75" customHeight="1">
      <c r="A614" s="104"/>
      <c r="B614" s="104"/>
      <c r="C614" s="104"/>
      <c r="D614" s="104"/>
      <c r="E614" s="104"/>
      <c r="F614" s="104"/>
      <c r="G614" s="104"/>
      <c r="H614" s="104"/>
    </row>
    <row r="615" spans="1:8" ht="12.75" customHeight="1">
      <c r="A615" s="104"/>
      <c r="B615" s="104"/>
      <c r="C615" s="104"/>
      <c r="D615" s="104"/>
      <c r="E615" s="104"/>
      <c r="F615" s="104"/>
      <c r="G615" s="104"/>
      <c r="H615" s="104"/>
    </row>
    <row r="616" spans="1:8" ht="12.75" customHeight="1">
      <c r="A616" s="104"/>
      <c r="B616" s="104"/>
      <c r="C616" s="104"/>
      <c r="D616" s="104"/>
      <c r="E616" s="104"/>
      <c r="F616" s="104"/>
      <c r="G616" s="104"/>
      <c r="H616" s="104"/>
    </row>
    <row r="617" spans="1:8" ht="12.75" customHeight="1">
      <c r="A617" s="104"/>
      <c r="B617" s="104"/>
      <c r="C617" s="104"/>
      <c r="D617" s="104"/>
      <c r="E617" s="104"/>
      <c r="F617" s="104"/>
      <c r="G617" s="104"/>
      <c r="H617" s="104"/>
    </row>
    <row r="618" spans="1:8" ht="12.75" customHeight="1">
      <c r="A618" s="104"/>
      <c r="B618" s="104"/>
      <c r="C618" s="104"/>
      <c r="D618" s="104"/>
      <c r="E618" s="104"/>
      <c r="F618" s="104"/>
      <c r="G618" s="104"/>
      <c r="H618" s="104"/>
    </row>
    <row r="619" spans="1:8" ht="12.75" customHeight="1">
      <c r="A619" s="104"/>
      <c r="B619" s="104"/>
      <c r="C619" s="104"/>
      <c r="D619" s="104"/>
      <c r="E619" s="104"/>
      <c r="F619" s="104"/>
      <c r="G619" s="104"/>
      <c r="H619" s="104"/>
    </row>
    <row r="620" spans="1:8" ht="12.75" customHeight="1">
      <c r="A620" s="104"/>
      <c r="B620" s="104"/>
      <c r="C620" s="104"/>
      <c r="D620" s="104"/>
      <c r="E620" s="104"/>
      <c r="F620" s="104"/>
      <c r="G620" s="104"/>
      <c r="H620" s="104"/>
    </row>
    <row r="621" spans="1:8" ht="12.75" customHeight="1">
      <c r="A621" s="104"/>
      <c r="B621" s="104"/>
      <c r="C621" s="104"/>
      <c r="D621" s="104"/>
      <c r="E621" s="104"/>
      <c r="F621" s="104"/>
      <c r="G621" s="104"/>
      <c r="H621" s="104"/>
    </row>
    <row r="622" spans="1:8" ht="12.75" customHeight="1">
      <c r="A622" s="104"/>
      <c r="B622" s="104"/>
      <c r="C622" s="104"/>
      <c r="D622" s="104"/>
      <c r="E622" s="104"/>
      <c r="F622" s="104"/>
      <c r="G622" s="104"/>
      <c r="H622" s="104"/>
    </row>
    <row r="623" spans="1:8" ht="12.75" customHeight="1">
      <c r="A623" s="104"/>
      <c r="B623" s="104"/>
      <c r="C623" s="104"/>
      <c r="D623" s="104"/>
      <c r="E623" s="104"/>
      <c r="F623" s="104"/>
      <c r="G623" s="104"/>
      <c r="H623" s="104"/>
    </row>
    <row r="624" spans="1:8" ht="12.75" customHeight="1">
      <c r="A624" s="104"/>
      <c r="B624" s="104"/>
      <c r="C624" s="104"/>
      <c r="D624" s="104"/>
      <c r="E624" s="104"/>
      <c r="F624" s="104"/>
      <c r="G624" s="104"/>
      <c r="H624" s="104"/>
    </row>
    <row r="625" spans="1:8" ht="12.75" customHeight="1">
      <c r="A625" s="104"/>
      <c r="B625" s="104"/>
      <c r="C625" s="104"/>
      <c r="D625" s="104"/>
      <c r="E625" s="104"/>
      <c r="F625" s="104"/>
      <c r="G625" s="104"/>
      <c r="H625" s="104"/>
    </row>
    <row r="626" spans="1:8" ht="12.75" customHeight="1">
      <c r="A626" s="104"/>
      <c r="B626" s="104"/>
      <c r="C626" s="104"/>
      <c r="D626" s="104"/>
      <c r="E626" s="104"/>
      <c r="F626" s="104"/>
      <c r="G626" s="104"/>
      <c r="H626" s="104"/>
    </row>
    <row r="627" spans="1:8" ht="12.75" customHeight="1">
      <c r="A627" s="104"/>
      <c r="B627" s="104"/>
      <c r="C627" s="104"/>
      <c r="D627" s="104"/>
      <c r="E627" s="104"/>
      <c r="F627" s="104"/>
      <c r="G627" s="104"/>
      <c r="H627" s="104"/>
    </row>
    <row r="628" spans="1:8" ht="12.75" customHeight="1">
      <c r="A628" s="104"/>
      <c r="B628" s="104"/>
      <c r="C628" s="104"/>
      <c r="D628" s="104"/>
      <c r="E628" s="104"/>
      <c r="F628" s="104"/>
      <c r="G628" s="104"/>
      <c r="H628" s="104"/>
    </row>
    <row r="629" spans="1:8" ht="12.75" customHeight="1">
      <c r="A629" s="104"/>
      <c r="B629" s="104"/>
      <c r="C629" s="104"/>
      <c r="D629" s="104"/>
      <c r="E629" s="104"/>
      <c r="F629" s="104"/>
      <c r="G629" s="104"/>
      <c r="H629" s="104"/>
    </row>
    <row r="630" spans="1:8" ht="12.75" customHeight="1">
      <c r="A630" s="104"/>
      <c r="B630" s="104"/>
      <c r="C630" s="104"/>
      <c r="D630" s="104"/>
      <c r="E630" s="104"/>
      <c r="F630" s="104"/>
      <c r="G630" s="104"/>
      <c r="H630" s="104"/>
    </row>
    <row r="631" spans="1:8" ht="12.75" customHeight="1">
      <c r="A631" s="104"/>
      <c r="B631" s="104"/>
      <c r="C631" s="104"/>
      <c r="D631" s="104"/>
      <c r="E631" s="104"/>
      <c r="F631" s="104"/>
      <c r="G631" s="104"/>
      <c r="H631" s="104"/>
    </row>
    <row r="632" spans="1:8" ht="12.75" customHeight="1">
      <c r="A632" s="104"/>
      <c r="B632" s="104"/>
      <c r="C632" s="104"/>
      <c r="D632" s="104"/>
      <c r="E632" s="104"/>
      <c r="F632" s="104"/>
      <c r="G632" s="104"/>
      <c r="H632" s="104"/>
    </row>
    <row r="633" spans="1:8" ht="12.75" customHeight="1">
      <c r="A633" s="104"/>
      <c r="B633" s="104"/>
      <c r="C633" s="104"/>
      <c r="D633" s="104"/>
      <c r="E633" s="104"/>
      <c r="F633" s="104"/>
      <c r="G633" s="104"/>
      <c r="H633" s="104"/>
    </row>
    <row r="634" spans="1:8" ht="12.75" customHeight="1">
      <c r="A634" s="104"/>
      <c r="B634" s="104"/>
      <c r="C634" s="104"/>
      <c r="D634" s="104"/>
      <c r="E634" s="104"/>
      <c r="F634" s="104"/>
      <c r="G634" s="104"/>
      <c r="H634" s="104"/>
    </row>
    <row r="635" spans="1:8" ht="12.75" customHeight="1">
      <c r="A635" s="104"/>
      <c r="B635" s="104"/>
      <c r="C635" s="104"/>
      <c r="D635" s="104"/>
      <c r="E635" s="104"/>
      <c r="F635" s="104"/>
      <c r="G635" s="104"/>
      <c r="H635" s="104"/>
    </row>
    <row r="636" spans="1:8" ht="12.75" customHeight="1">
      <c r="A636" s="104"/>
      <c r="B636" s="104"/>
      <c r="C636" s="104"/>
      <c r="D636" s="104"/>
      <c r="E636" s="104"/>
      <c r="F636" s="104"/>
      <c r="G636" s="104"/>
      <c r="H636" s="104"/>
    </row>
    <row r="637" spans="1:8" ht="12.75" customHeight="1">
      <c r="A637" s="104"/>
      <c r="B637" s="104"/>
      <c r="C637" s="104"/>
      <c r="D637" s="104"/>
      <c r="E637" s="104"/>
      <c r="F637" s="104"/>
      <c r="G637" s="104"/>
      <c r="H637" s="104"/>
    </row>
    <row r="638" spans="1:8" ht="12.75" customHeight="1">
      <c r="A638" s="104"/>
      <c r="B638" s="104"/>
      <c r="C638" s="104"/>
      <c r="D638" s="104"/>
      <c r="E638" s="104"/>
      <c r="F638" s="104"/>
      <c r="G638" s="104"/>
      <c r="H638" s="104"/>
    </row>
    <row r="639" spans="1:8" ht="12.75" customHeight="1">
      <c r="A639" s="104"/>
      <c r="B639" s="104"/>
      <c r="C639" s="104"/>
      <c r="D639" s="104"/>
      <c r="E639" s="104"/>
      <c r="F639" s="104"/>
      <c r="G639" s="104"/>
      <c r="H639" s="104"/>
    </row>
    <row r="640" spans="1:8" ht="12.75" customHeight="1">
      <c r="A640" s="104"/>
      <c r="B640" s="104"/>
      <c r="C640" s="104"/>
      <c r="D640" s="104"/>
      <c r="E640" s="104"/>
      <c r="F640" s="104"/>
      <c r="G640" s="104"/>
      <c r="H640" s="104"/>
    </row>
    <row r="641" spans="1:8" ht="12.75" customHeight="1">
      <c r="A641" s="104"/>
      <c r="B641" s="104"/>
      <c r="C641" s="104"/>
      <c r="D641" s="104"/>
      <c r="E641" s="104"/>
      <c r="F641" s="104"/>
      <c r="G641" s="104"/>
      <c r="H641" s="104"/>
    </row>
    <row r="642" spans="1:8" ht="12.75" customHeight="1">
      <c r="A642" s="104"/>
      <c r="B642" s="104"/>
      <c r="C642" s="104"/>
      <c r="D642" s="104"/>
      <c r="E642" s="104"/>
      <c r="F642" s="104"/>
      <c r="G642" s="104"/>
      <c r="H642" s="104"/>
    </row>
    <row r="643" spans="1:8" ht="12.75" customHeight="1">
      <c r="A643" s="104"/>
      <c r="B643" s="104"/>
      <c r="C643" s="104"/>
      <c r="D643" s="104"/>
      <c r="E643" s="104"/>
      <c r="F643" s="104"/>
      <c r="G643" s="104"/>
      <c r="H643" s="104"/>
    </row>
    <row r="644" spans="1:8" ht="12.75" customHeight="1">
      <c r="A644" s="104"/>
      <c r="B644" s="104"/>
      <c r="C644" s="104"/>
      <c r="D644" s="104"/>
      <c r="E644" s="104"/>
      <c r="F644" s="104"/>
      <c r="G644" s="104"/>
      <c r="H644" s="104"/>
    </row>
    <row r="645" spans="1:8" ht="12.75" customHeight="1">
      <c r="A645" s="104"/>
      <c r="B645" s="104"/>
      <c r="C645" s="104"/>
      <c r="D645" s="104"/>
      <c r="E645" s="104"/>
      <c r="F645" s="104"/>
      <c r="G645" s="104"/>
      <c r="H645" s="104"/>
    </row>
    <row r="646" spans="1:8" ht="12.75" customHeight="1">
      <c r="A646" s="104"/>
      <c r="B646" s="104"/>
      <c r="C646" s="104"/>
      <c r="D646" s="104"/>
      <c r="E646" s="104"/>
      <c r="F646" s="104"/>
      <c r="G646" s="104"/>
      <c r="H646" s="104"/>
    </row>
    <row r="647" spans="1:8" ht="12.75" customHeight="1">
      <c r="A647" s="104"/>
      <c r="B647" s="104"/>
      <c r="C647" s="104"/>
      <c r="D647" s="104"/>
      <c r="E647" s="104"/>
      <c r="F647" s="104"/>
      <c r="G647" s="104"/>
      <c r="H647" s="104"/>
    </row>
    <row r="648" spans="1:8" ht="12.75" customHeight="1">
      <c r="A648" s="104"/>
      <c r="B648" s="104"/>
      <c r="C648" s="104"/>
      <c r="D648" s="104"/>
      <c r="E648" s="104"/>
      <c r="F648" s="104"/>
      <c r="G648" s="104"/>
      <c r="H648" s="104"/>
    </row>
    <row r="649" spans="1:8" ht="12.75" customHeight="1">
      <c r="A649" s="104"/>
      <c r="B649" s="104"/>
      <c r="C649" s="104"/>
      <c r="D649" s="104"/>
      <c r="E649" s="104"/>
      <c r="F649" s="104"/>
      <c r="G649" s="104"/>
      <c r="H649" s="104"/>
    </row>
    <row r="650" spans="1:8" ht="12.75" customHeight="1">
      <c r="A650" s="104"/>
      <c r="B650" s="104"/>
      <c r="C650" s="104"/>
      <c r="D650" s="104"/>
      <c r="E650" s="104"/>
      <c r="F650" s="104"/>
      <c r="G650" s="104"/>
      <c r="H650" s="104"/>
    </row>
    <row r="651" spans="1:8" ht="12.75" customHeight="1">
      <c r="A651" s="104"/>
      <c r="B651" s="104"/>
      <c r="C651" s="104"/>
      <c r="D651" s="104"/>
      <c r="E651" s="104"/>
      <c r="F651" s="104"/>
      <c r="G651" s="104"/>
      <c r="H651" s="104"/>
    </row>
    <row r="652" spans="1:8" ht="12.75" customHeight="1">
      <c r="A652" s="104"/>
      <c r="B652" s="104"/>
      <c r="C652" s="104"/>
      <c r="D652" s="104"/>
      <c r="E652" s="104"/>
      <c r="F652" s="104"/>
      <c r="G652" s="104"/>
      <c r="H652" s="104"/>
    </row>
    <row r="653" spans="1:8" ht="12.75" customHeight="1">
      <c r="A653" s="104"/>
      <c r="B653" s="104"/>
      <c r="C653" s="104"/>
      <c r="D653" s="104"/>
      <c r="E653" s="104"/>
      <c r="F653" s="104"/>
      <c r="G653" s="104"/>
      <c r="H653" s="104"/>
    </row>
    <row r="654" spans="1:8" ht="12.75" customHeight="1">
      <c r="A654" s="104"/>
      <c r="B654" s="104"/>
      <c r="C654" s="104"/>
      <c r="D654" s="104"/>
      <c r="E654" s="104"/>
      <c r="F654" s="104"/>
      <c r="G654" s="104"/>
      <c r="H654" s="104"/>
    </row>
    <row r="655" spans="1:8" ht="12.75" customHeight="1">
      <c r="A655" s="104"/>
      <c r="B655" s="104"/>
      <c r="C655" s="104"/>
      <c r="D655" s="104"/>
      <c r="E655" s="104"/>
      <c r="F655" s="104"/>
      <c r="G655" s="104"/>
      <c r="H655" s="104"/>
    </row>
    <row r="656" spans="1:8" ht="12.75" customHeight="1">
      <c r="A656" s="104"/>
      <c r="B656" s="104"/>
      <c r="C656" s="104"/>
      <c r="D656" s="104"/>
      <c r="E656" s="104"/>
      <c r="F656" s="104"/>
      <c r="G656" s="104"/>
      <c r="H656" s="104"/>
    </row>
    <row r="657" spans="1:8" ht="12.75" customHeight="1">
      <c r="A657" s="104"/>
      <c r="B657" s="104"/>
      <c r="C657" s="104"/>
      <c r="D657" s="104"/>
      <c r="E657" s="104"/>
      <c r="F657" s="104"/>
      <c r="G657" s="104"/>
      <c r="H657" s="104"/>
    </row>
    <row r="658" spans="1:8" ht="12.75" customHeight="1">
      <c r="A658" s="104"/>
      <c r="B658" s="104"/>
      <c r="C658" s="104"/>
      <c r="D658" s="104"/>
      <c r="E658" s="104"/>
      <c r="F658" s="104"/>
      <c r="G658" s="104"/>
      <c r="H658" s="104"/>
    </row>
    <row r="659" spans="1:8" ht="12.75" customHeight="1">
      <c r="A659" s="104"/>
      <c r="B659" s="104"/>
      <c r="C659" s="104"/>
      <c r="D659" s="104"/>
      <c r="E659" s="104"/>
      <c r="F659" s="104"/>
      <c r="G659" s="104"/>
      <c r="H659" s="104"/>
    </row>
    <row r="660" spans="1:8" ht="12.75" customHeight="1">
      <c r="A660" s="104"/>
      <c r="B660" s="104"/>
      <c r="C660" s="104"/>
      <c r="D660" s="104"/>
      <c r="E660" s="104"/>
      <c r="F660" s="104"/>
      <c r="G660" s="104"/>
      <c r="H660" s="104"/>
    </row>
    <row r="661" spans="1:8" ht="12.75" customHeight="1">
      <c r="A661" s="104"/>
      <c r="B661" s="104"/>
      <c r="C661" s="104"/>
      <c r="D661" s="104"/>
      <c r="E661" s="104"/>
      <c r="F661" s="104"/>
      <c r="G661" s="104"/>
      <c r="H661" s="104"/>
    </row>
    <row r="662" spans="1:8" ht="12.75" customHeight="1">
      <c r="A662" s="104"/>
      <c r="B662" s="104"/>
      <c r="C662" s="104"/>
      <c r="D662" s="104"/>
      <c r="E662" s="104"/>
      <c r="F662" s="104"/>
      <c r="G662" s="104"/>
      <c r="H662" s="104"/>
    </row>
    <row r="663" spans="1:8" ht="12.75" customHeight="1">
      <c r="A663" s="104"/>
      <c r="B663" s="104"/>
      <c r="C663" s="104"/>
      <c r="D663" s="104"/>
      <c r="E663" s="104"/>
      <c r="F663" s="104"/>
      <c r="G663" s="104"/>
      <c r="H663" s="104"/>
    </row>
    <row r="664" spans="1:8" ht="12.75" customHeight="1">
      <c r="A664" s="104"/>
      <c r="B664" s="104"/>
      <c r="C664" s="104"/>
      <c r="D664" s="104"/>
      <c r="E664" s="104"/>
      <c r="F664" s="104"/>
      <c r="G664" s="104"/>
      <c r="H664" s="104"/>
    </row>
    <row r="665" spans="1:8" ht="12.75" customHeight="1">
      <c r="A665" s="104"/>
      <c r="B665" s="104"/>
      <c r="C665" s="104"/>
      <c r="D665" s="104"/>
      <c r="E665" s="104"/>
      <c r="F665" s="104"/>
      <c r="G665" s="104"/>
      <c r="H665" s="104"/>
    </row>
    <row r="666" spans="1:8" ht="12.75" customHeight="1">
      <c r="A666" s="104"/>
      <c r="B666" s="104"/>
      <c r="C666" s="104"/>
      <c r="D666" s="104"/>
      <c r="E666" s="104"/>
      <c r="F666" s="104"/>
      <c r="G666" s="104"/>
      <c r="H666" s="104"/>
    </row>
    <row r="667" spans="1:8" ht="12.75" customHeight="1">
      <c r="A667" s="104"/>
      <c r="B667" s="104"/>
      <c r="C667" s="104"/>
      <c r="D667" s="104"/>
      <c r="E667" s="104"/>
      <c r="F667" s="104"/>
      <c r="G667" s="104"/>
      <c r="H667" s="104"/>
    </row>
    <row r="668" spans="1:8" ht="12.75" customHeight="1">
      <c r="A668" s="104"/>
      <c r="B668" s="104"/>
      <c r="C668" s="104"/>
      <c r="D668" s="104"/>
      <c r="E668" s="104"/>
      <c r="F668" s="104"/>
      <c r="G668" s="104"/>
      <c r="H668" s="104"/>
    </row>
    <row r="669" spans="1:8" ht="12.75" customHeight="1">
      <c r="A669" s="104"/>
      <c r="B669" s="104"/>
      <c r="C669" s="104"/>
      <c r="D669" s="104"/>
      <c r="E669" s="104"/>
      <c r="F669" s="104"/>
      <c r="G669" s="104"/>
      <c r="H669" s="104"/>
    </row>
    <row r="670" spans="1:8" ht="12.75" customHeight="1">
      <c r="A670" s="104"/>
      <c r="B670" s="104"/>
      <c r="C670" s="104"/>
      <c r="D670" s="104"/>
      <c r="E670" s="104"/>
      <c r="F670" s="104"/>
      <c r="G670" s="104"/>
      <c r="H670" s="104"/>
    </row>
    <row r="671" spans="1:8" ht="12.75" customHeight="1">
      <c r="A671" s="104"/>
      <c r="B671" s="104"/>
      <c r="C671" s="104"/>
      <c r="D671" s="104"/>
      <c r="E671" s="104"/>
      <c r="F671" s="104"/>
      <c r="G671" s="104"/>
      <c r="H671" s="104"/>
    </row>
    <row r="672" spans="1:8" ht="12.75" customHeight="1">
      <c r="A672" s="104"/>
      <c r="B672" s="104"/>
      <c r="C672" s="104"/>
      <c r="D672" s="104"/>
      <c r="E672" s="104"/>
      <c r="F672" s="104"/>
      <c r="G672" s="104"/>
      <c r="H672" s="104"/>
    </row>
    <row r="673" spans="1:8" ht="12.75" customHeight="1">
      <c r="A673" s="104"/>
      <c r="B673" s="104"/>
      <c r="C673" s="104"/>
      <c r="D673" s="104"/>
      <c r="E673" s="104"/>
      <c r="F673" s="104"/>
      <c r="G673" s="104"/>
      <c r="H673" s="104"/>
    </row>
    <row r="674" spans="1:8" ht="12.75" customHeight="1">
      <c r="A674" s="104"/>
      <c r="B674" s="104"/>
      <c r="C674" s="104"/>
      <c r="D674" s="104"/>
      <c r="E674" s="104"/>
      <c r="F674" s="104"/>
      <c r="G674" s="104"/>
      <c r="H674" s="104"/>
    </row>
    <row r="675" spans="1:8" ht="12.75" customHeight="1">
      <c r="A675" s="104"/>
      <c r="B675" s="104"/>
      <c r="C675" s="104"/>
      <c r="D675" s="104"/>
      <c r="E675" s="104"/>
      <c r="F675" s="104"/>
      <c r="G675" s="104"/>
      <c r="H675" s="104"/>
    </row>
    <row r="676" spans="1:8" ht="12.75" customHeight="1">
      <c r="A676" s="104"/>
      <c r="B676" s="104"/>
      <c r="C676" s="104"/>
      <c r="D676" s="104"/>
      <c r="E676" s="104"/>
      <c r="F676" s="104"/>
      <c r="G676" s="104"/>
      <c r="H676" s="104"/>
    </row>
    <row r="677" spans="1:8" ht="12.75" customHeight="1">
      <c r="A677" s="104"/>
      <c r="B677" s="104"/>
      <c r="C677" s="104"/>
      <c r="D677" s="104"/>
      <c r="E677" s="104"/>
      <c r="F677" s="104"/>
      <c r="G677" s="104"/>
      <c r="H677" s="104"/>
    </row>
    <row r="678" spans="1:8" ht="12.75" customHeight="1">
      <c r="A678" s="104"/>
      <c r="B678" s="104"/>
      <c r="C678" s="104"/>
      <c r="D678" s="104"/>
      <c r="E678" s="104"/>
      <c r="F678" s="104"/>
      <c r="G678" s="104"/>
      <c r="H678" s="104"/>
    </row>
    <row r="679" spans="1:8" ht="12.75" customHeight="1">
      <c r="A679" s="104"/>
      <c r="B679" s="104"/>
      <c r="C679" s="104"/>
      <c r="D679" s="104"/>
      <c r="E679" s="104"/>
      <c r="F679" s="104"/>
      <c r="G679" s="104"/>
      <c r="H679" s="104"/>
    </row>
    <row r="680" spans="1:8" ht="12.75" customHeight="1">
      <c r="A680" s="104"/>
      <c r="B680" s="104"/>
      <c r="C680" s="104"/>
      <c r="D680" s="104"/>
      <c r="E680" s="104"/>
      <c r="F680" s="104"/>
      <c r="G680" s="104"/>
      <c r="H680" s="104"/>
    </row>
    <row r="681" spans="1:8" ht="12.75" customHeight="1">
      <c r="A681" s="104"/>
      <c r="B681" s="104"/>
      <c r="C681" s="104"/>
      <c r="D681" s="104"/>
      <c r="E681" s="104"/>
      <c r="F681" s="104"/>
      <c r="G681" s="104"/>
      <c r="H681" s="104"/>
    </row>
    <row r="682" spans="1:8" ht="12.75" customHeight="1">
      <c r="A682" s="104"/>
      <c r="B682" s="104"/>
      <c r="C682" s="104"/>
      <c r="D682" s="104"/>
      <c r="E682" s="104"/>
      <c r="F682" s="104"/>
      <c r="G682" s="104"/>
      <c r="H682" s="104"/>
    </row>
    <row r="683" spans="1:8" ht="12.75" customHeight="1">
      <c r="A683" s="104"/>
      <c r="B683" s="104"/>
      <c r="C683" s="104"/>
      <c r="D683" s="104"/>
      <c r="E683" s="104"/>
      <c r="F683" s="104"/>
      <c r="G683" s="104"/>
      <c r="H683" s="104"/>
    </row>
    <row r="684" spans="1:8" ht="12.75" customHeight="1">
      <c r="A684" s="104"/>
      <c r="B684" s="104"/>
      <c r="C684" s="104"/>
      <c r="D684" s="104"/>
      <c r="E684" s="104"/>
      <c r="F684" s="104"/>
      <c r="G684" s="104"/>
      <c r="H684" s="104"/>
    </row>
    <row r="685" spans="1:8" ht="12.75" customHeight="1">
      <c r="A685" s="104"/>
      <c r="B685" s="104"/>
      <c r="C685" s="104"/>
      <c r="D685" s="104"/>
      <c r="E685" s="104"/>
      <c r="F685" s="104"/>
      <c r="G685" s="104"/>
      <c r="H685" s="104"/>
    </row>
    <row r="686" spans="1:8" ht="12.75" customHeight="1">
      <c r="A686" s="104"/>
      <c r="B686" s="104"/>
      <c r="C686" s="104"/>
      <c r="D686" s="104"/>
      <c r="E686" s="104"/>
      <c r="F686" s="104"/>
      <c r="G686" s="104"/>
      <c r="H686" s="104"/>
    </row>
    <row r="687" spans="1:8" ht="12.75" customHeight="1">
      <c r="A687" s="104"/>
      <c r="B687" s="104"/>
      <c r="C687" s="104"/>
      <c r="D687" s="104"/>
      <c r="E687" s="104"/>
      <c r="F687" s="104"/>
      <c r="G687" s="104"/>
      <c r="H687" s="104"/>
    </row>
    <row r="688" spans="1:8" ht="12.75" customHeight="1">
      <c r="A688" s="104"/>
      <c r="B688" s="104"/>
      <c r="C688" s="104"/>
      <c r="D688" s="104"/>
      <c r="E688" s="104"/>
      <c r="F688" s="104"/>
      <c r="G688" s="104"/>
      <c r="H688" s="104"/>
    </row>
    <row r="689" spans="1:8" ht="12.75" customHeight="1">
      <c r="A689" s="104"/>
      <c r="B689" s="104"/>
      <c r="C689" s="104"/>
      <c r="D689" s="104"/>
      <c r="E689" s="104"/>
      <c r="F689" s="104"/>
      <c r="G689" s="104"/>
      <c r="H689" s="104"/>
    </row>
    <row r="690" spans="1:8" ht="12.75" customHeight="1">
      <c r="A690" s="104"/>
      <c r="B690" s="104"/>
      <c r="C690" s="104"/>
      <c r="D690" s="104"/>
      <c r="E690" s="104"/>
      <c r="F690" s="104"/>
      <c r="G690" s="104"/>
      <c r="H690" s="104"/>
    </row>
    <row r="691" spans="1:8" ht="12.75" customHeight="1">
      <c r="A691" s="104"/>
      <c r="B691" s="104"/>
      <c r="C691" s="104"/>
      <c r="D691" s="104"/>
      <c r="E691" s="104"/>
      <c r="F691" s="104"/>
      <c r="G691" s="104"/>
      <c r="H691" s="104"/>
    </row>
    <row r="692" spans="1:8" ht="12.75" customHeight="1">
      <c r="A692" s="104"/>
      <c r="B692" s="104"/>
      <c r="C692" s="104"/>
      <c r="D692" s="104"/>
      <c r="E692" s="104"/>
      <c r="F692" s="104"/>
      <c r="G692" s="104"/>
      <c r="H692" s="104"/>
    </row>
    <row r="693" spans="1:8" ht="12.75" customHeight="1">
      <c r="A693" s="104"/>
      <c r="B693" s="104"/>
      <c r="C693" s="104"/>
      <c r="D693" s="104"/>
      <c r="E693" s="104"/>
      <c r="F693" s="104"/>
      <c r="G693" s="104"/>
      <c r="H693" s="104"/>
    </row>
    <row r="694" spans="1:8" ht="12.75" customHeight="1">
      <c r="A694" s="104"/>
      <c r="B694" s="104"/>
      <c r="C694" s="104"/>
      <c r="D694" s="104"/>
      <c r="E694" s="104"/>
      <c r="F694" s="104"/>
      <c r="G694" s="104"/>
      <c r="H694" s="104"/>
    </row>
    <row r="695" spans="1:8" ht="12.75" customHeight="1">
      <c r="A695" s="104"/>
      <c r="B695" s="104"/>
      <c r="C695" s="104"/>
      <c r="D695" s="104"/>
      <c r="E695" s="104"/>
      <c r="F695" s="104"/>
      <c r="G695" s="104"/>
      <c r="H695" s="104"/>
    </row>
    <row r="696" spans="1:8" ht="12.75" customHeight="1">
      <c r="A696" s="104"/>
      <c r="B696" s="104"/>
      <c r="C696" s="104"/>
      <c r="D696" s="104"/>
      <c r="E696" s="104"/>
      <c r="F696" s="104"/>
      <c r="G696" s="104"/>
      <c r="H696" s="104"/>
    </row>
    <row r="697" spans="1:8" ht="12.75" customHeight="1">
      <c r="A697" s="104"/>
      <c r="B697" s="104"/>
      <c r="C697" s="104"/>
      <c r="D697" s="104"/>
      <c r="E697" s="104"/>
      <c r="F697" s="104"/>
      <c r="G697" s="104"/>
      <c r="H697" s="104"/>
    </row>
    <row r="698" spans="1:8" ht="12.75" customHeight="1">
      <c r="A698" s="104"/>
      <c r="B698" s="104"/>
      <c r="C698" s="104"/>
      <c r="D698" s="104"/>
      <c r="E698" s="104"/>
      <c r="F698" s="104"/>
      <c r="G698" s="104"/>
      <c r="H698" s="104"/>
    </row>
    <row r="699" spans="1:8" ht="12.75" customHeight="1">
      <c r="A699" s="104"/>
      <c r="B699" s="104"/>
      <c r="C699" s="104"/>
      <c r="D699" s="104"/>
      <c r="E699" s="104"/>
      <c r="F699" s="104"/>
      <c r="G699" s="104"/>
      <c r="H699" s="104"/>
    </row>
    <row r="700" spans="1:8" ht="12.75" customHeight="1">
      <c r="A700" s="104"/>
      <c r="B700" s="104"/>
      <c r="C700" s="104"/>
      <c r="D700" s="104"/>
      <c r="E700" s="104"/>
      <c r="F700" s="104"/>
      <c r="G700" s="104"/>
      <c r="H700" s="104"/>
    </row>
    <row r="701" spans="1:8" ht="12.75" customHeight="1">
      <c r="A701" s="104"/>
      <c r="B701" s="104"/>
      <c r="C701" s="104"/>
      <c r="D701" s="104"/>
      <c r="E701" s="104"/>
      <c r="F701" s="104"/>
      <c r="G701" s="104"/>
      <c r="H701" s="104"/>
    </row>
    <row r="702" spans="1:8" ht="12.75" customHeight="1">
      <c r="A702" s="104"/>
      <c r="B702" s="104"/>
      <c r="C702" s="104"/>
      <c r="D702" s="104"/>
      <c r="E702" s="104"/>
      <c r="F702" s="104"/>
      <c r="G702" s="104"/>
      <c r="H702" s="104"/>
    </row>
    <row r="703" spans="1:8" ht="12.75" customHeight="1">
      <c r="A703" s="104"/>
      <c r="B703" s="104"/>
      <c r="C703" s="104"/>
      <c r="D703" s="104"/>
      <c r="E703" s="104"/>
      <c r="F703" s="104"/>
      <c r="G703" s="104"/>
      <c r="H703" s="104"/>
    </row>
    <row r="704" spans="1:8" ht="12.75" customHeight="1">
      <c r="A704" s="104"/>
      <c r="B704" s="104"/>
      <c r="C704" s="104"/>
      <c r="D704" s="104"/>
      <c r="E704" s="104"/>
      <c r="F704" s="104"/>
      <c r="G704" s="104"/>
      <c r="H704" s="104"/>
    </row>
    <row r="705" spans="1:8" ht="12.75" customHeight="1">
      <c r="A705" s="104"/>
      <c r="B705" s="104"/>
      <c r="C705" s="104"/>
      <c r="D705" s="104"/>
      <c r="E705" s="104"/>
      <c r="F705" s="104"/>
      <c r="G705" s="104"/>
      <c r="H705" s="104"/>
    </row>
    <row r="706" spans="1:8" ht="12.75" customHeight="1">
      <c r="A706" s="104"/>
      <c r="B706" s="104"/>
      <c r="C706" s="104"/>
      <c r="D706" s="104"/>
      <c r="E706" s="104"/>
      <c r="F706" s="104"/>
      <c r="G706" s="104"/>
      <c r="H706" s="104"/>
    </row>
    <row r="707" spans="1:8" ht="12.75" customHeight="1">
      <c r="A707" s="104"/>
      <c r="B707" s="104"/>
      <c r="C707" s="104"/>
      <c r="D707" s="104"/>
      <c r="E707" s="104"/>
      <c r="F707" s="104"/>
      <c r="G707" s="104"/>
      <c r="H707" s="104"/>
    </row>
    <row r="708" spans="1:8" ht="12.75" customHeight="1">
      <c r="A708" s="104"/>
      <c r="B708" s="104"/>
      <c r="C708" s="104"/>
      <c r="D708" s="104"/>
      <c r="E708" s="104"/>
      <c r="F708" s="104"/>
      <c r="G708" s="104"/>
      <c r="H708" s="104"/>
    </row>
    <row r="709" spans="1:8" ht="12.75" customHeight="1">
      <c r="A709" s="104"/>
      <c r="B709" s="104"/>
      <c r="C709" s="104"/>
      <c r="D709" s="104"/>
      <c r="E709" s="104"/>
      <c r="F709" s="104"/>
      <c r="G709" s="104"/>
      <c r="H709" s="104"/>
    </row>
    <row r="710" spans="1:8" ht="12.75" customHeight="1">
      <c r="A710" s="104"/>
      <c r="B710" s="104"/>
      <c r="C710" s="104"/>
      <c r="D710" s="104"/>
      <c r="E710" s="104"/>
      <c r="F710" s="104"/>
      <c r="G710" s="104"/>
      <c r="H710" s="104"/>
    </row>
    <row r="711" spans="1:8" ht="12.75" customHeight="1">
      <c r="A711" s="104"/>
      <c r="B711" s="104"/>
      <c r="C711" s="104"/>
      <c r="D711" s="104"/>
      <c r="E711" s="104"/>
      <c r="F711" s="104"/>
      <c r="G711" s="104"/>
      <c r="H711" s="104"/>
    </row>
    <row r="712" spans="1:8" ht="12.75" customHeight="1">
      <c r="A712" s="104"/>
      <c r="B712" s="104"/>
      <c r="C712" s="104"/>
      <c r="D712" s="104"/>
      <c r="E712" s="104"/>
      <c r="F712" s="104"/>
      <c r="G712" s="104"/>
      <c r="H712" s="104"/>
    </row>
    <row r="713" spans="1:8" ht="12.75" customHeight="1">
      <c r="A713" s="104"/>
      <c r="B713" s="104"/>
      <c r="C713" s="104"/>
      <c r="D713" s="104"/>
      <c r="E713" s="104"/>
      <c r="F713" s="104"/>
      <c r="G713" s="104"/>
      <c r="H713" s="104"/>
    </row>
    <row r="714" spans="1:8" ht="12.75" customHeight="1">
      <c r="A714" s="104"/>
      <c r="B714" s="104"/>
      <c r="C714" s="104"/>
      <c r="D714" s="104"/>
      <c r="E714" s="104"/>
      <c r="F714" s="104"/>
      <c r="G714" s="104"/>
      <c r="H714" s="104"/>
    </row>
    <row r="715" spans="1:8" ht="12.75" customHeight="1">
      <c r="A715" s="104"/>
      <c r="B715" s="104"/>
      <c r="C715" s="104"/>
      <c r="D715" s="104"/>
      <c r="E715" s="104"/>
      <c r="F715" s="104"/>
      <c r="G715" s="104"/>
      <c r="H715" s="104"/>
    </row>
    <row r="716" spans="1:8" ht="12.75" customHeight="1">
      <c r="A716" s="104"/>
      <c r="B716" s="104"/>
      <c r="C716" s="104"/>
      <c r="D716" s="104"/>
      <c r="E716" s="104"/>
      <c r="F716" s="104"/>
      <c r="G716" s="104"/>
      <c r="H716" s="104"/>
    </row>
    <row r="717" spans="1:8" ht="12.75" customHeight="1">
      <c r="A717" s="104"/>
      <c r="B717" s="104"/>
      <c r="C717" s="104"/>
      <c r="D717" s="104"/>
      <c r="E717" s="104"/>
      <c r="F717" s="104"/>
      <c r="G717" s="104"/>
      <c r="H717" s="104"/>
    </row>
    <row r="718" spans="1:8" ht="12.75" customHeight="1">
      <c r="A718" s="104"/>
      <c r="B718" s="104"/>
      <c r="C718" s="104"/>
      <c r="D718" s="104"/>
      <c r="E718" s="104"/>
      <c r="F718" s="104"/>
      <c r="G718" s="104"/>
      <c r="H718" s="104"/>
    </row>
    <row r="719" spans="1:8" ht="12.75" customHeight="1">
      <c r="A719" s="104"/>
      <c r="B719" s="104"/>
      <c r="C719" s="104"/>
      <c r="D719" s="104"/>
      <c r="E719" s="104"/>
      <c r="F719" s="104"/>
      <c r="G719" s="104"/>
      <c r="H719" s="104"/>
    </row>
    <row r="720" spans="1:8" ht="12.75" customHeight="1">
      <c r="A720" s="104"/>
      <c r="B720" s="104"/>
      <c r="C720" s="104"/>
      <c r="D720" s="104"/>
      <c r="E720" s="104"/>
      <c r="F720" s="104"/>
      <c r="G720" s="104"/>
      <c r="H720" s="104"/>
    </row>
    <row r="721" spans="1:8" ht="12.75" customHeight="1">
      <c r="A721" s="104"/>
      <c r="B721" s="104"/>
      <c r="C721" s="104"/>
      <c r="D721" s="104"/>
      <c r="E721" s="104"/>
      <c r="F721" s="104"/>
      <c r="G721" s="104"/>
      <c r="H721" s="104"/>
    </row>
    <row r="722" spans="1:8" ht="12.75" customHeight="1">
      <c r="A722" s="104"/>
      <c r="B722" s="104"/>
      <c r="C722" s="104"/>
      <c r="D722" s="104"/>
      <c r="E722" s="104"/>
      <c r="F722" s="104"/>
      <c r="G722" s="104"/>
      <c r="H722" s="104"/>
    </row>
    <row r="723" spans="1:8" ht="12.75" customHeight="1">
      <c r="A723" s="104"/>
      <c r="B723" s="104"/>
      <c r="C723" s="104"/>
      <c r="D723" s="104"/>
      <c r="E723" s="104"/>
      <c r="F723" s="104"/>
      <c r="G723" s="104"/>
      <c r="H723" s="104"/>
    </row>
    <row r="724" spans="1:8" ht="12.75" customHeight="1">
      <c r="A724" s="104"/>
      <c r="B724" s="104"/>
      <c r="C724" s="104"/>
      <c r="D724" s="104"/>
      <c r="E724" s="104"/>
      <c r="F724" s="104"/>
      <c r="G724" s="104"/>
      <c r="H724" s="104"/>
    </row>
    <row r="725" spans="1:8" ht="12.75" customHeight="1">
      <c r="A725" s="104"/>
      <c r="B725" s="104"/>
      <c r="C725" s="104"/>
      <c r="D725" s="104"/>
      <c r="E725" s="104"/>
      <c r="F725" s="104"/>
      <c r="G725" s="104"/>
      <c r="H725" s="104"/>
    </row>
    <row r="726" spans="1:8" ht="12.75" customHeight="1">
      <c r="A726" s="104"/>
      <c r="B726" s="104"/>
      <c r="C726" s="104"/>
      <c r="D726" s="104"/>
      <c r="E726" s="104"/>
      <c r="F726" s="104"/>
      <c r="G726" s="104"/>
      <c r="H726" s="104"/>
    </row>
    <row r="727" spans="1:8" ht="12.75" customHeight="1">
      <c r="A727" s="104"/>
      <c r="B727" s="104"/>
      <c r="C727" s="104"/>
      <c r="D727" s="104"/>
      <c r="E727" s="104"/>
      <c r="F727" s="104"/>
      <c r="G727" s="104"/>
      <c r="H727" s="104"/>
    </row>
    <row r="728" spans="1:8" ht="12.75" customHeight="1">
      <c r="A728" s="104"/>
      <c r="B728" s="104"/>
      <c r="C728" s="104"/>
      <c r="D728" s="104"/>
      <c r="E728" s="104"/>
      <c r="F728" s="104"/>
      <c r="G728" s="104"/>
      <c r="H728" s="104"/>
    </row>
    <row r="729" spans="1:8" ht="12.75" customHeight="1">
      <c r="A729" s="104"/>
      <c r="B729" s="104"/>
      <c r="C729" s="104"/>
      <c r="D729" s="104"/>
      <c r="E729" s="104"/>
      <c r="F729" s="104"/>
      <c r="G729" s="104"/>
      <c r="H729" s="104"/>
    </row>
    <row r="730" spans="1:8" ht="12.75" customHeight="1">
      <c r="A730" s="104"/>
      <c r="B730" s="104"/>
      <c r="C730" s="104"/>
      <c r="D730" s="104"/>
      <c r="E730" s="104"/>
      <c r="F730" s="104"/>
      <c r="G730" s="104"/>
      <c r="H730" s="104"/>
    </row>
    <row r="731" spans="1:8" ht="12.75" customHeight="1">
      <c r="A731" s="104"/>
      <c r="B731" s="104"/>
      <c r="C731" s="104"/>
      <c r="D731" s="104"/>
      <c r="E731" s="104"/>
      <c r="F731" s="104"/>
      <c r="G731" s="104"/>
      <c r="H731" s="104"/>
    </row>
    <row r="732" spans="1:8" ht="12.75" customHeight="1">
      <c r="A732" s="104"/>
      <c r="B732" s="104"/>
      <c r="C732" s="104"/>
      <c r="D732" s="104"/>
      <c r="E732" s="104"/>
      <c r="F732" s="104"/>
      <c r="G732" s="104"/>
      <c r="H732" s="104"/>
    </row>
    <row r="733" spans="1:8" ht="12.75" customHeight="1">
      <c r="A733" s="104"/>
      <c r="B733" s="104"/>
      <c r="C733" s="104"/>
      <c r="D733" s="104"/>
      <c r="E733" s="104"/>
      <c r="F733" s="104"/>
      <c r="G733" s="104"/>
      <c r="H733" s="104"/>
    </row>
    <row r="734" spans="1:8" ht="12.75" customHeight="1">
      <c r="A734" s="104"/>
      <c r="B734" s="104"/>
      <c r="C734" s="104"/>
      <c r="D734" s="104"/>
      <c r="E734" s="104"/>
      <c r="F734" s="104"/>
      <c r="G734" s="104"/>
      <c r="H734" s="104"/>
    </row>
    <row r="735" spans="1:8" ht="12.75" customHeight="1">
      <c r="A735" s="104"/>
      <c r="B735" s="104"/>
      <c r="C735" s="104"/>
      <c r="D735" s="104"/>
      <c r="E735" s="104"/>
      <c r="F735" s="104"/>
      <c r="G735" s="104"/>
      <c r="H735" s="104"/>
    </row>
    <row r="736" spans="1:8" ht="12.75" customHeight="1">
      <c r="A736" s="104"/>
      <c r="B736" s="104"/>
      <c r="C736" s="104"/>
      <c r="D736" s="104"/>
      <c r="E736" s="104"/>
      <c r="F736" s="104"/>
      <c r="G736" s="104"/>
      <c r="H736" s="104"/>
    </row>
    <row r="737" spans="1:8" ht="12.75" customHeight="1">
      <c r="A737" s="104"/>
      <c r="B737" s="104"/>
      <c r="C737" s="104"/>
      <c r="D737" s="104"/>
      <c r="E737" s="104"/>
      <c r="F737" s="104"/>
      <c r="G737" s="104"/>
      <c r="H737" s="104"/>
    </row>
    <row r="738" spans="1:8" ht="12.75" customHeight="1">
      <c r="A738" s="104"/>
      <c r="B738" s="104"/>
      <c r="C738" s="104"/>
      <c r="D738" s="104"/>
      <c r="E738" s="104"/>
      <c r="F738" s="104"/>
      <c r="G738" s="104"/>
      <c r="H738" s="104"/>
    </row>
    <row r="739" spans="1:8" ht="12.75" customHeight="1">
      <c r="A739" s="104"/>
      <c r="B739" s="104"/>
      <c r="C739" s="104"/>
      <c r="D739" s="104"/>
      <c r="E739" s="104"/>
      <c r="F739" s="104"/>
      <c r="G739" s="104"/>
      <c r="H739" s="104"/>
    </row>
    <row r="740" spans="1:8" ht="12.75" customHeight="1">
      <c r="A740" s="104"/>
      <c r="B740" s="104"/>
      <c r="C740" s="104"/>
      <c r="D740" s="104"/>
      <c r="E740" s="104"/>
      <c r="F740" s="104"/>
      <c r="G740" s="104"/>
      <c r="H740" s="104"/>
    </row>
    <row r="741" spans="1:8" ht="12.75" customHeight="1">
      <c r="A741" s="104"/>
      <c r="B741" s="104"/>
      <c r="C741" s="104"/>
      <c r="D741" s="104"/>
      <c r="E741" s="104"/>
      <c r="F741" s="104"/>
      <c r="G741" s="104"/>
      <c r="H741" s="104"/>
    </row>
    <row r="742" spans="1:8" ht="12.75" customHeight="1">
      <c r="A742" s="104"/>
      <c r="B742" s="104"/>
      <c r="C742" s="104"/>
      <c r="D742" s="104"/>
      <c r="E742" s="104"/>
      <c r="F742" s="104"/>
      <c r="G742" s="104"/>
      <c r="H742" s="104"/>
    </row>
    <row r="743" spans="1:8" ht="12.75" customHeight="1">
      <c r="A743" s="104"/>
      <c r="B743" s="104"/>
      <c r="C743" s="104"/>
      <c r="D743" s="104"/>
      <c r="E743" s="104"/>
      <c r="F743" s="104"/>
      <c r="G743" s="104"/>
      <c r="H743" s="104"/>
    </row>
    <row r="744" spans="1:8" ht="12.75" customHeight="1">
      <c r="A744" s="104"/>
      <c r="B744" s="104"/>
      <c r="C744" s="104"/>
      <c r="D744" s="104"/>
      <c r="E744" s="104"/>
      <c r="F744" s="104"/>
      <c r="G744" s="104"/>
      <c r="H744" s="104"/>
    </row>
    <row r="745" spans="1:8" ht="12.75" customHeight="1">
      <c r="A745" s="104"/>
      <c r="B745" s="104"/>
      <c r="C745" s="104"/>
      <c r="D745" s="104"/>
      <c r="E745" s="104"/>
      <c r="F745" s="104"/>
      <c r="G745" s="104"/>
      <c r="H745" s="104"/>
    </row>
    <row r="746" spans="1:8" ht="12.75" customHeight="1">
      <c r="A746" s="104"/>
      <c r="B746" s="104"/>
      <c r="C746" s="104"/>
      <c r="D746" s="104"/>
      <c r="E746" s="104"/>
      <c r="F746" s="104"/>
      <c r="G746" s="104"/>
      <c r="H746" s="104"/>
    </row>
    <row r="747" spans="1:8" ht="12.75" customHeight="1">
      <c r="A747" s="104"/>
      <c r="B747" s="104"/>
      <c r="C747" s="104"/>
      <c r="D747" s="104"/>
      <c r="E747" s="104"/>
      <c r="F747" s="104"/>
      <c r="G747" s="104"/>
      <c r="H747" s="104"/>
    </row>
    <row r="748" spans="1:8" ht="12.75" customHeight="1">
      <c r="A748" s="104"/>
      <c r="B748" s="104"/>
      <c r="C748" s="104"/>
      <c r="D748" s="104"/>
      <c r="E748" s="104"/>
      <c r="F748" s="104"/>
      <c r="G748" s="104"/>
      <c r="H748" s="104"/>
    </row>
    <row r="749" spans="1:8" ht="12.75" customHeight="1">
      <c r="A749" s="104"/>
      <c r="B749" s="104"/>
      <c r="C749" s="104"/>
      <c r="D749" s="104"/>
      <c r="E749" s="104"/>
      <c r="F749" s="104"/>
      <c r="G749" s="104"/>
      <c r="H749" s="104"/>
    </row>
    <row r="750" spans="1:8" ht="12.75" customHeight="1">
      <c r="A750" s="104"/>
      <c r="B750" s="104"/>
      <c r="C750" s="104"/>
      <c r="D750" s="104"/>
      <c r="E750" s="104"/>
      <c r="F750" s="104"/>
      <c r="G750" s="104"/>
      <c r="H750" s="104"/>
    </row>
    <row r="751" spans="1:8" ht="12.75" customHeight="1">
      <c r="A751" s="104"/>
      <c r="B751" s="104"/>
      <c r="C751" s="104"/>
      <c r="D751" s="104"/>
      <c r="E751" s="104"/>
      <c r="F751" s="104"/>
      <c r="G751" s="104"/>
      <c r="H751" s="104"/>
    </row>
    <row r="752" spans="1:8" ht="12.75" customHeight="1">
      <c r="A752" s="104"/>
      <c r="B752" s="104"/>
      <c r="C752" s="104"/>
      <c r="D752" s="104"/>
      <c r="E752" s="104"/>
      <c r="F752" s="104"/>
      <c r="G752" s="104"/>
      <c r="H752" s="104"/>
    </row>
    <row r="753" spans="1:8" ht="12.75" customHeight="1">
      <c r="A753" s="104"/>
      <c r="B753" s="104"/>
      <c r="C753" s="104"/>
      <c r="D753" s="104"/>
      <c r="E753" s="104"/>
      <c r="F753" s="104"/>
      <c r="G753" s="104"/>
      <c r="H753" s="104"/>
    </row>
    <row r="754" spans="1:8" ht="12.75" customHeight="1">
      <c r="A754" s="104"/>
      <c r="B754" s="104"/>
      <c r="C754" s="104"/>
      <c r="D754" s="104"/>
      <c r="E754" s="104"/>
      <c r="F754" s="104"/>
      <c r="G754" s="104"/>
      <c r="H754" s="104"/>
    </row>
    <row r="755" spans="1:8" ht="12.75" customHeight="1">
      <c r="A755" s="104"/>
      <c r="B755" s="104"/>
      <c r="C755" s="104"/>
      <c r="D755" s="104"/>
      <c r="E755" s="104"/>
      <c r="F755" s="104"/>
      <c r="G755" s="104"/>
      <c r="H755" s="104"/>
    </row>
    <row r="756" spans="1:8" ht="12.75" customHeight="1">
      <c r="A756" s="104"/>
      <c r="B756" s="104"/>
      <c r="C756" s="104"/>
      <c r="D756" s="104"/>
      <c r="E756" s="104"/>
      <c r="F756" s="104"/>
      <c r="G756" s="104"/>
      <c r="H756" s="104"/>
    </row>
    <row r="757" spans="1:8" ht="12.75" customHeight="1">
      <c r="A757" s="104"/>
      <c r="B757" s="104"/>
      <c r="C757" s="104"/>
      <c r="D757" s="104"/>
      <c r="E757" s="104"/>
      <c r="F757" s="104"/>
      <c r="G757" s="104"/>
      <c r="H757" s="104"/>
    </row>
    <row r="758" spans="1:8" ht="12.75" customHeight="1">
      <c r="A758" s="104"/>
      <c r="B758" s="104"/>
      <c r="C758" s="104"/>
      <c r="D758" s="104"/>
      <c r="E758" s="104"/>
      <c r="F758" s="104"/>
      <c r="G758" s="104"/>
      <c r="H758" s="104"/>
    </row>
    <row r="759" spans="1:8" ht="12.75" customHeight="1">
      <c r="A759" s="104"/>
      <c r="B759" s="104"/>
      <c r="C759" s="104"/>
      <c r="D759" s="104"/>
      <c r="E759" s="104"/>
      <c r="F759" s="104"/>
      <c r="G759" s="104"/>
      <c r="H759" s="104"/>
    </row>
    <row r="760" spans="1:8" ht="12.75" customHeight="1">
      <c r="A760" s="104"/>
      <c r="B760" s="104"/>
      <c r="C760" s="104"/>
      <c r="D760" s="104"/>
      <c r="E760" s="104"/>
      <c r="F760" s="104"/>
      <c r="G760" s="104"/>
      <c r="H760" s="104"/>
    </row>
    <row r="761" spans="1:8" ht="12.75" customHeight="1">
      <c r="A761" s="104"/>
      <c r="B761" s="104"/>
      <c r="C761" s="104"/>
      <c r="D761" s="104"/>
      <c r="E761" s="104"/>
      <c r="F761" s="104"/>
      <c r="G761" s="104"/>
      <c r="H761" s="104"/>
    </row>
    <row r="762" spans="1:8" ht="12.75" customHeight="1">
      <c r="A762" s="104"/>
      <c r="B762" s="104"/>
      <c r="C762" s="104"/>
      <c r="D762" s="104"/>
      <c r="E762" s="104"/>
      <c r="F762" s="104"/>
      <c r="G762" s="104"/>
      <c r="H762" s="104"/>
    </row>
    <row r="763" spans="1:8" ht="12.75" customHeight="1">
      <c r="A763" s="104"/>
      <c r="B763" s="104"/>
      <c r="C763" s="104"/>
      <c r="D763" s="104"/>
      <c r="E763" s="104"/>
      <c r="F763" s="104"/>
      <c r="G763" s="104"/>
      <c r="H763" s="104"/>
    </row>
    <row r="764" spans="1:8" ht="12.75" customHeight="1">
      <c r="A764" s="104"/>
      <c r="B764" s="104"/>
      <c r="C764" s="104"/>
      <c r="D764" s="104"/>
      <c r="E764" s="104"/>
      <c r="F764" s="104"/>
      <c r="G764" s="104"/>
      <c r="H764" s="104"/>
    </row>
    <row r="765" spans="1:8" ht="12.75" customHeight="1">
      <c r="A765" s="104"/>
      <c r="B765" s="104"/>
      <c r="C765" s="104"/>
      <c r="D765" s="104"/>
      <c r="E765" s="104"/>
      <c r="F765" s="104"/>
      <c r="G765" s="104"/>
      <c r="H765" s="104"/>
    </row>
    <row r="766" spans="1:8" ht="12.75" customHeight="1">
      <c r="A766" s="104"/>
      <c r="B766" s="104"/>
      <c r="C766" s="104"/>
      <c r="D766" s="104"/>
      <c r="E766" s="104"/>
      <c r="F766" s="104"/>
      <c r="G766" s="104"/>
      <c r="H766" s="104"/>
    </row>
    <row r="767" spans="1:8" ht="12.75" customHeight="1">
      <c r="A767" s="104"/>
      <c r="B767" s="104"/>
      <c r="C767" s="104"/>
      <c r="D767" s="104"/>
      <c r="E767" s="104"/>
      <c r="F767" s="104"/>
      <c r="G767" s="104"/>
      <c r="H767" s="104"/>
    </row>
    <row r="768" spans="1:8" ht="12.75" customHeight="1">
      <c r="A768" s="104"/>
      <c r="B768" s="104"/>
      <c r="C768" s="104"/>
      <c r="D768" s="104"/>
      <c r="E768" s="104"/>
      <c r="F768" s="104"/>
      <c r="G768" s="104"/>
      <c r="H768" s="104"/>
    </row>
    <row r="769" spans="1:8" ht="12.75" customHeight="1">
      <c r="A769" s="104"/>
      <c r="B769" s="104"/>
      <c r="C769" s="104"/>
      <c r="D769" s="104"/>
      <c r="E769" s="104"/>
      <c r="F769" s="104"/>
      <c r="G769" s="104"/>
      <c r="H769" s="104"/>
    </row>
    <row r="770" spans="1:8" ht="12.75" customHeight="1">
      <c r="A770" s="104"/>
      <c r="B770" s="104"/>
      <c r="C770" s="104"/>
      <c r="D770" s="104"/>
      <c r="E770" s="104"/>
      <c r="F770" s="104"/>
      <c r="G770" s="104"/>
      <c r="H770" s="104"/>
    </row>
    <row r="771" spans="1:8" ht="12.75" customHeight="1">
      <c r="A771" s="104"/>
      <c r="B771" s="104"/>
      <c r="C771" s="104"/>
      <c r="D771" s="104"/>
      <c r="E771" s="104"/>
      <c r="F771" s="104"/>
      <c r="G771" s="104"/>
      <c r="H771" s="104"/>
    </row>
    <row r="772" spans="1:8" ht="12.75" customHeight="1">
      <c r="A772" s="104"/>
      <c r="B772" s="104"/>
      <c r="C772" s="104"/>
      <c r="D772" s="104"/>
      <c r="E772" s="104"/>
      <c r="F772" s="104"/>
      <c r="G772" s="104"/>
      <c r="H772" s="104"/>
    </row>
    <row r="773" spans="1:8" ht="12.75" customHeight="1">
      <c r="A773" s="104"/>
      <c r="B773" s="104"/>
      <c r="C773" s="104"/>
      <c r="D773" s="104"/>
      <c r="E773" s="104"/>
      <c r="F773" s="104"/>
      <c r="G773" s="104"/>
      <c r="H773" s="104"/>
    </row>
    <row r="774" spans="1:8" ht="12.75" customHeight="1">
      <c r="A774" s="104"/>
      <c r="B774" s="104"/>
      <c r="C774" s="104"/>
      <c r="D774" s="104"/>
      <c r="E774" s="104"/>
      <c r="F774" s="104"/>
      <c r="G774" s="104"/>
      <c r="H774" s="104"/>
    </row>
    <row r="775" spans="1:8" ht="12.75" customHeight="1">
      <c r="A775" s="104"/>
      <c r="B775" s="104"/>
      <c r="C775" s="104"/>
      <c r="D775" s="104"/>
      <c r="E775" s="104"/>
      <c r="F775" s="104"/>
      <c r="G775" s="104"/>
      <c r="H775" s="104"/>
    </row>
    <row r="776" spans="1:8" ht="12.75" customHeight="1">
      <c r="A776" s="104"/>
      <c r="B776" s="104"/>
      <c r="C776" s="104"/>
      <c r="D776" s="104"/>
      <c r="E776" s="104"/>
      <c r="F776" s="104"/>
      <c r="G776" s="104"/>
      <c r="H776" s="104"/>
    </row>
    <row r="777" spans="1:8" ht="12.75" customHeight="1">
      <c r="A777" s="104"/>
      <c r="B777" s="104"/>
      <c r="C777" s="104"/>
      <c r="D777" s="104"/>
      <c r="E777" s="104"/>
      <c r="F777" s="104"/>
      <c r="G777" s="104"/>
      <c r="H777" s="104"/>
    </row>
    <row r="778" spans="1:8" ht="12.75" customHeight="1">
      <c r="A778" s="104"/>
      <c r="B778" s="104"/>
      <c r="C778" s="104"/>
      <c r="D778" s="104"/>
      <c r="E778" s="104"/>
      <c r="F778" s="104"/>
      <c r="G778" s="104"/>
      <c r="H778" s="104"/>
    </row>
    <row r="779" spans="1:8" ht="12.75" customHeight="1">
      <c r="A779" s="104"/>
      <c r="B779" s="104"/>
      <c r="C779" s="104"/>
      <c r="D779" s="104"/>
      <c r="E779" s="104"/>
      <c r="F779" s="104"/>
      <c r="G779" s="104"/>
      <c r="H779" s="104"/>
    </row>
    <row r="780" spans="1:8" ht="12.75" customHeight="1">
      <c r="A780" s="104"/>
      <c r="B780" s="104"/>
      <c r="C780" s="104"/>
      <c r="D780" s="104"/>
      <c r="E780" s="104"/>
      <c r="F780" s="104"/>
      <c r="G780" s="104"/>
      <c r="H780" s="104"/>
    </row>
    <row r="781" spans="1:8" ht="12.75" customHeight="1">
      <c r="A781" s="104"/>
      <c r="B781" s="104"/>
      <c r="C781" s="104"/>
      <c r="D781" s="104"/>
      <c r="E781" s="104"/>
      <c r="F781" s="104"/>
      <c r="G781" s="104"/>
      <c r="H781" s="104"/>
    </row>
    <row r="782" spans="1:8" ht="12.75" customHeight="1">
      <c r="A782" s="104"/>
      <c r="B782" s="104"/>
      <c r="C782" s="104"/>
      <c r="D782" s="104"/>
      <c r="E782" s="104"/>
      <c r="F782" s="104"/>
      <c r="G782" s="104"/>
      <c r="H782" s="104"/>
    </row>
    <row r="783" spans="1:8" ht="12.75" customHeight="1">
      <c r="A783" s="104"/>
      <c r="B783" s="104"/>
      <c r="C783" s="104"/>
      <c r="D783" s="104"/>
      <c r="E783" s="104"/>
      <c r="F783" s="104"/>
      <c r="G783" s="104"/>
      <c r="H783" s="104"/>
    </row>
    <row r="784" spans="1:8" ht="12.75" customHeight="1">
      <c r="A784" s="104"/>
      <c r="B784" s="104"/>
      <c r="C784" s="104"/>
      <c r="D784" s="104"/>
      <c r="E784" s="104"/>
      <c r="F784" s="104"/>
      <c r="G784" s="104"/>
      <c r="H784" s="104"/>
    </row>
    <row r="785" spans="1:8" ht="12.75" customHeight="1">
      <c r="A785" s="104"/>
      <c r="B785" s="104"/>
      <c r="C785" s="104"/>
      <c r="D785" s="104"/>
      <c r="E785" s="104"/>
      <c r="F785" s="104"/>
      <c r="G785" s="104"/>
      <c r="H785" s="104"/>
    </row>
    <row r="786" spans="1:8" ht="12.75" customHeight="1">
      <c r="A786" s="104"/>
      <c r="B786" s="104"/>
      <c r="C786" s="104"/>
      <c r="D786" s="104"/>
      <c r="E786" s="104"/>
      <c r="F786" s="104"/>
      <c r="G786" s="104"/>
      <c r="H786" s="104"/>
    </row>
    <row r="787" spans="1:8" ht="12.75" customHeight="1">
      <c r="A787" s="104"/>
      <c r="B787" s="104"/>
      <c r="C787" s="104"/>
      <c r="D787" s="104"/>
      <c r="E787" s="104"/>
      <c r="F787" s="104"/>
      <c r="G787" s="104"/>
      <c r="H787" s="104"/>
    </row>
    <row r="788" spans="1:8" ht="12.75" customHeight="1">
      <c r="A788" s="104"/>
      <c r="B788" s="104"/>
      <c r="C788" s="104"/>
      <c r="D788" s="104"/>
      <c r="E788" s="104"/>
      <c r="F788" s="104"/>
      <c r="G788" s="104"/>
      <c r="H788" s="104"/>
    </row>
    <row r="789" spans="1:8" ht="12.75" customHeight="1">
      <c r="A789" s="104"/>
      <c r="B789" s="104"/>
      <c r="C789" s="104"/>
      <c r="D789" s="104"/>
      <c r="E789" s="104"/>
      <c r="F789" s="104"/>
      <c r="G789" s="104"/>
      <c r="H789" s="104"/>
    </row>
    <row r="790" spans="1:8" ht="12.75" customHeight="1">
      <c r="A790" s="104"/>
      <c r="B790" s="104"/>
      <c r="C790" s="104"/>
      <c r="D790" s="104"/>
      <c r="E790" s="104"/>
      <c r="F790" s="104"/>
      <c r="G790" s="104"/>
      <c r="H790" s="104"/>
    </row>
    <row r="791" spans="1:8" ht="12.75" customHeight="1">
      <c r="A791" s="104"/>
      <c r="B791" s="104"/>
      <c r="C791" s="104"/>
      <c r="D791" s="104"/>
      <c r="E791" s="104"/>
      <c r="F791" s="104"/>
      <c r="G791" s="104"/>
      <c r="H791" s="104"/>
    </row>
    <row r="792" spans="1:8" ht="12.75" customHeight="1">
      <c r="A792" s="104"/>
      <c r="B792" s="104"/>
      <c r="C792" s="104"/>
      <c r="D792" s="104"/>
      <c r="E792" s="104"/>
      <c r="F792" s="104"/>
      <c r="G792" s="104"/>
      <c r="H792" s="104"/>
    </row>
    <row r="793" spans="1:8" ht="12.75" customHeight="1">
      <c r="A793" s="104"/>
      <c r="B793" s="104"/>
      <c r="C793" s="104"/>
      <c r="D793" s="104"/>
      <c r="E793" s="104"/>
      <c r="F793" s="104"/>
      <c r="G793" s="104"/>
      <c r="H793" s="104"/>
    </row>
    <row r="794" spans="1:8" ht="12.75" customHeight="1">
      <c r="A794" s="104"/>
      <c r="B794" s="104"/>
      <c r="C794" s="104"/>
      <c r="D794" s="104"/>
      <c r="E794" s="104"/>
      <c r="F794" s="104"/>
      <c r="G794" s="104"/>
      <c r="H794" s="104"/>
    </row>
    <row r="795" spans="1:8" ht="12.75" customHeight="1">
      <c r="A795" s="104"/>
      <c r="B795" s="104"/>
      <c r="C795" s="104"/>
      <c r="D795" s="104"/>
      <c r="E795" s="104"/>
      <c r="F795" s="104"/>
      <c r="G795" s="104"/>
      <c r="H795" s="104"/>
    </row>
    <row r="796" spans="1:8" ht="12.75" customHeight="1">
      <c r="A796" s="104"/>
      <c r="B796" s="104"/>
      <c r="C796" s="104"/>
      <c r="D796" s="104"/>
      <c r="E796" s="104"/>
      <c r="F796" s="104"/>
      <c r="G796" s="104"/>
      <c r="H796" s="104"/>
    </row>
    <row r="797" spans="1:8" ht="12.75" customHeight="1">
      <c r="A797" s="104"/>
      <c r="B797" s="104"/>
      <c r="C797" s="104"/>
      <c r="D797" s="104"/>
      <c r="E797" s="104"/>
      <c r="F797" s="104"/>
      <c r="G797" s="104"/>
      <c r="H797" s="104"/>
    </row>
    <row r="798" spans="1:8" ht="12.75" customHeight="1">
      <c r="A798" s="104"/>
      <c r="B798" s="104"/>
      <c r="C798" s="104"/>
      <c r="D798" s="104"/>
      <c r="E798" s="104"/>
      <c r="F798" s="104"/>
      <c r="G798" s="104"/>
      <c r="H798" s="104"/>
    </row>
    <row r="799" spans="1:8" ht="12.75" customHeight="1">
      <c r="A799" s="104"/>
      <c r="B799" s="104"/>
      <c r="C799" s="104"/>
      <c r="D799" s="104"/>
      <c r="E799" s="104"/>
      <c r="F799" s="104"/>
      <c r="G799" s="104"/>
      <c r="H799" s="104"/>
    </row>
    <row r="800" spans="1:8" ht="12.75" customHeight="1">
      <c r="A800" s="104"/>
      <c r="B800" s="104"/>
      <c r="C800" s="104"/>
      <c r="D800" s="104"/>
      <c r="E800" s="104"/>
      <c r="F800" s="104"/>
      <c r="G800" s="104"/>
      <c r="H800" s="104"/>
    </row>
    <row r="801" spans="1:8" ht="12.75" customHeight="1">
      <c r="A801" s="104"/>
      <c r="B801" s="104"/>
      <c r="C801" s="104"/>
      <c r="D801" s="104"/>
      <c r="E801" s="104"/>
      <c r="F801" s="104"/>
      <c r="G801" s="104"/>
      <c r="H801" s="104"/>
    </row>
    <row r="802" spans="1:8" ht="12.75" customHeight="1">
      <c r="A802" s="104"/>
      <c r="B802" s="104"/>
      <c r="C802" s="104"/>
      <c r="D802" s="104"/>
      <c r="E802" s="104"/>
      <c r="F802" s="104"/>
      <c r="G802" s="104"/>
      <c r="H802" s="104"/>
    </row>
    <row r="803" spans="1:8" ht="12.75" customHeight="1">
      <c r="A803" s="104"/>
      <c r="B803" s="104"/>
      <c r="C803" s="104"/>
      <c r="D803" s="104"/>
      <c r="E803" s="104"/>
      <c r="F803" s="104"/>
      <c r="G803" s="104"/>
      <c r="H803" s="104"/>
    </row>
    <row r="804" spans="1:8" ht="12.75" customHeight="1">
      <c r="A804" s="104"/>
      <c r="B804" s="104"/>
      <c r="C804" s="104"/>
      <c r="D804" s="104"/>
      <c r="E804" s="104"/>
      <c r="F804" s="104"/>
      <c r="G804" s="104"/>
      <c r="H804" s="104"/>
    </row>
    <row r="805" spans="1:8" ht="12.75" customHeight="1">
      <c r="A805" s="104"/>
      <c r="B805" s="104"/>
      <c r="C805" s="104"/>
      <c r="D805" s="104"/>
      <c r="E805" s="104"/>
      <c r="F805" s="104"/>
      <c r="G805" s="104"/>
      <c r="H805" s="104"/>
    </row>
    <row r="806" spans="1:8" ht="12.75" customHeight="1">
      <c r="A806" s="104"/>
      <c r="B806" s="104"/>
      <c r="C806" s="104"/>
      <c r="D806" s="104"/>
      <c r="E806" s="104"/>
      <c r="F806" s="104"/>
      <c r="G806" s="104"/>
      <c r="H806" s="104"/>
    </row>
    <row r="807" spans="1:8" ht="12.75" customHeight="1">
      <c r="A807" s="104"/>
      <c r="B807" s="104"/>
      <c r="C807" s="104"/>
      <c r="D807" s="104"/>
      <c r="E807" s="104"/>
      <c r="F807" s="104"/>
      <c r="G807" s="104"/>
      <c r="H807" s="104"/>
    </row>
    <row r="808" spans="1:8" ht="12.75" customHeight="1">
      <c r="A808" s="104"/>
      <c r="B808" s="104"/>
      <c r="C808" s="104"/>
      <c r="D808" s="104"/>
      <c r="E808" s="104"/>
      <c r="F808" s="104"/>
      <c r="G808" s="104"/>
      <c r="H808" s="104"/>
    </row>
    <row r="809" spans="1:8" ht="12.75" customHeight="1">
      <c r="A809" s="104"/>
      <c r="B809" s="104"/>
      <c r="C809" s="104"/>
      <c r="D809" s="104"/>
      <c r="E809" s="104"/>
      <c r="F809" s="104"/>
      <c r="G809" s="104"/>
      <c r="H809" s="104"/>
    </row>
    <row r="810" spans="1:8" ht="12.75" customHeight="1">
      <c r="A810" s="104"/>
      <c r="B810" s="104"/>
      <c r="C810" s="104"/>
      <c r="D810" s="104"/>
      <c r="E810" s="104"/>
      <c r="F810" s="104"/>
      <c r="G810" s="104"/>
      <c r="H810" s="104"/>
    </row>
    <row r="811" spans="1:8" ht="12.75" customHeight="1">
      <c r="A811" s="104"/>
      <c r="B811" s="104"/>
      <c r="C811" s="104"/>
      <c r="D811" s="104"/>
      <c r="E811" s="104"/>
      <c r="F811" s="104"/>
      <c r="G811" s="104"/>
      <c r="H811" s="104"/>
    </row>
    <row r="812" spans="1:8" ht="12.75" customHeight="1">
      <c r="A812" s="104"/>
      <c r="B812" s="104"/>
      <c r="C812" s="104"/>
      <c r="D812" s="104"/>
      <c r="E812" s="104"/>
      <c r="F812" s="104"/>
      <c r="G812" s="104"/>
      <c r="H812" s="104"/>
    </row>
    <row r="813" spans="1:8" ht="12.75" customHeight="1">
      <c r="A813" s="104"/>
      <c r="B813" s="104"/>
      <c r="C813" s="104"/>
      <c r="D813" s="104"/>
      <c r="E813" s="104"/>
      <c r="F813" s="104"/>
      <c r="G813" s="104"/>
      <c r="H813" s="104"/>
    </row>
    <row r="814" spans="1:8" ht="12.75" customHeight="1">
      <c r="A814" s="104"/>
      <c r="B814" s="104"/>
      <c r="C814" s="104"/>
      <c r="D814" s="104"/>
      <c r="E814" s="104"/>
      <c r="F814" s="104"/>
      <c r="G814" s="104"/>
      <c r="H814" s="104"/>
    </row>
    <row r="815" spans="1:8" ht="12.75" customHeight="1">
      <c r="A815" s="104"/>
      <c r="B815" s="104"/>
      <c r="C815" s="104"/>
      <c r="D815" s="104"/>
      <c r="E815" s="104"/>
      <c r="F815" s="104"/>
      <c r="G815" s="104"/>
      <c r="H815" s="104"/>
    </row>
    <row r="816" spans="1:8" ht="12.75" customHeight="1">
      <c r="A816" s="104"/>
      <c r="B816" s="104"/>
      <c r="C816" s="104"/>
      <c r="D816" s="104"/>
      <c r="E816" s="104"/>
      <c r="F816" s="104"/>
      <c r="G816" s="104"/>
      <c r="H816" s="104"/>
    </row>
    <row r="817" spans="1:8" ht="12.75" customHeight="1">
      <c r="A817" s="104"/>
      <c r="B817" s="104"/>
      <c r="C817" s="104"/>
      <c r="D817" s="104"/>
      <c r="E817" s="104"/>
      <c r="F817" s="104"/>
      <c r="G817" s="104"/>
      <c r="H817" s="104"/>
    </row>
    <row r="818" spans="1:8" ht="12.75" customHeight="1">
      <c r="A818" s="104"/>
      <c r="B818" s="104"/>
      <c r="C818" s="104"/>
      <c r="D818" s="104"/>
      <c r="E818" s="104"/>
      <c r="F818" s="104"/>
      <c r="G818" s="104"/>
      <c r="H818" s="104"/>
    </row>
    <row r="819" spans="1:8" ht="12.75" customHeight="1">
      <c r="A819" s="104"/>
      <c r="B819" s="104"/>
      <c r="C819" s="104"/>
      <c r="D819" s="104"/>
      <c r="E819" s="104"/>
      <c r="F819" s="104"/>
      <c r="G819" s="104"/>
      <c r="H819" s="104"/>
    </row>
    <row r="820" spans="1:8" ht="12.75" customHeight="1">
      <c r="A820" s="104"/>
      <c r="B820" s="104"/>
      <c r="C820" s="104"/>
      <c r="D820" s="104"/>
      <c r="E820" s="104"/>
      <c r="F820" s="104"/>
      <c r="G820" s="104"/>
      <c r="H820" s="104"/>
    </row>
    <row r="821" spans="1:8" ht="12.75" customHeight="1">
      <c r="A821" s="104"/>
      <c r="B821" s="104"/>
      <c r="C821" s="104"/>
      <c r="D821" s="104"/>
      <c r="E821" s="104"/>
      <c r="F821" s="104"/>
      <c r="G821" s="104"/>
      <c r="H821" s="104"/>
    </row>
    <row r="822" spans="1:8" ht="12.75" customHeight="1">
      <c r="A822" s="104"/>
      <c r="B822" s="104"/>
      <c r="C822" s="104"/>
      <c r="D822" s="104"/>
      <c r="E822" s="104"/>
      <c r="F822" s="104"/>
      <c r="G822" s="104"/>
      <c r="H822" s="104"/>
    </row>
    <row r="823" spans="1:8" ht="12.75" customHeight="1">
      <c r="A823" s="104"/>
      <c r="B823" s="104"/>
      <c r="C823" s="104"/>
      <c r="D823" s="104"/>
      <c r="E823" s="104"/>
      <c r="F823" s="104"/>
      <c r="G823" s="104"/>
      <c r="H823" s="104"/>
    </row>
    <row r="824" spans="1:8" ht="12.75" customHeight="1">
      <c r="A824" s="104"/>
      <c r="B824" s="104"/>
      <c r="C824" s="104"/>
      <c r="D824" s="104"/>
      <c r="E824" s="104"/>
      <c r="F824" s="104"/>
      <c r="G824" s="104"/>
      <c r="H824" s="104"/>
    </row>
    <row r="825" spans="1:8" ht="12.75" customHeight="1">
      <c r="A825" s="104"/>
      <c r="B825" s="104"/>
      <c r="C825" s="104"/>
      <c r="D825" s="104"/>
      <c r="E825" s="104"/>
      <c r="F825" s="104"/>
      <c r="G825" s="104"/>
      <c r="H825" s="104"/>
    </row>
    <row r="826" spans="1:8" ht="12.75" customHeight="1">
      <c r="A826" s="104"/>
      <c r="B826" s="104"/>
      <c r="C826" s="104"/>
      <c r="D826" s="104"/>
      <c r="E826" s="104"/>
      <c r="F826" s="104"/>
      <c r="G826" s="104"/>
      <c r="H826" s="104"/>
    </row>
    <row r="827" spans="1:8" ht="12.75" customHeight="1">
      <c r="A827" s="104"/>
      <c r="B827" s="104"/>
      <c r="C827" s="104"/>
      <c r="D827" s="104"/>
      <c r="E827" s="104"/>
      <c r="F827" s="104"/>
      <c r="G827" s="104"/>
      <c r="H827" s="104"/>
    </row>
    <row r="828" spans="1:8" ht="12.75" customHeight="1">
      <c r="A828" s="104"/>
      <c r="B828" s="104"/>
      <c r="C828" s="104"/>
      <c r="D828" s="104"/>
      <c r="E828" s="104"/>
      <c r="F828" s="104"/>
      <c r="G828" s="104"/>
      <c r="H828" s="104"/>
    </row>
    <row r="829" spans="1:8" ht="12.75" customHeight="1">
      <c r="A829" s="104"/>
      <c r="B829" s="104"/>
      <c r="C829" s="104"/>
      <c r="D829" s="104"/>
      <c r="E829" s="104"/>
      <c r="F829" s="104"/>
      <c r="G829" s="104"/>
      <c r="H829" s="104"/>
    </row>
    <row r="830" spans="1:8" ht="12.75" customHeight="1">
      <c r="A830" s="104"/>
      <c r="B830" s="104"/>
      <c r="C830" s="104"/>
      <c r="D830" s="104"/>
      <c r="E830" s="104"/>
      <c r="F830" s="104"/>
      <c r="G830" s="104"/>
      <c r="H830" s="104"/>
    </row>
    <row r="831" spans="1:8" ht="12.75" customHeight="1">
      <c r="A831" s="104"/>
      <c r="B831" s="104"/>
      <c r="C831" s="104"/>
      <c r="D831" s="104"/>
      <c r="E831" s="104"/>
      <c r="F831" s="104"/>
      <c r="G831" s="104"/>
      <c r="H831" s="104"/>
    </row>
    <row r="832" spans="1:8" ht="12.75" customHeight="1">
      <c r="A832" s="104"/>
      <c r="B832" s="104"/>
      <c r="C832" s="104"/>
      <c r="D832" s="104"/>
      <c r="E832" s="104"/>
      <c r="F832" s="104"/>
      <c r="G832" s="104"/>
      <c r="H832" s="104"/>
    </row>
    <row r="833" spans="1:8" ht="12.75" customHeight="1">
      <c r="A833" s="104"/>
      <c r="B833" s="104"/>
      <c r="C833" s="104"/>
      <c r="D833" s="104"/>
      <c r="E833" s="104"/>
      <c r="F833" s="104"/>
      <c r="G833" s="104"/>
      <c r="H833" s="104"/>
    </row>
    <row r="834" spans="1:8" ht="12.75" customHeight="1">
      <c r="A834" s="104"/>
      <c r="B834" s="104"/>
      <c r="C834" s="104"/>
      <c r="D834" s="104"/>
      <c r="E834" s="104"/>
      <c r="F834" s="104"/>
      <c r="G834" s="104"/>
      <c r="H834" s="104"/>
    </row>
    <row r="835" spans="1:8" ht="12.75" customHeight="1">
      <c r="A835" s="104"/>
      <c r="B835" s="104"/>
      <c r="C835" s="104"/>
      <c r="D835" s="104"/>
      <c r="E835" s="104"/>
      <c r="F835" s="104"/>
      <c r="G835" s="104"/>
      <c r="H835" s="104"/>
    </row>
    <row r="836" spans="1:8" ht="12.75" customHeight="1">
      <c r="A836" s="104"/>
      <c r="B836" s="104"/>
      <c r="C836" s="104"/>
      <c r="D836" s="104"/>
      <c r="E836" s="104"/>
      <c r="F836" s="104"/>
      <c r="G836" s="104"/>
      <c r="H836" s="104"/>
    </row>
    <row r="837" spans="1:8" ht="12.75" customHeight="1">
      <c r="A837" s="104"/>
      <c r="B837" s="104"/>
      <c r="C837" s="104"/>
      <c r="D837" s="104"/>
      <c r="E837" s="104"/>
      <c r="F837" s="104"/>
      <c r="G837" s="104"/>
      <c r="H837" s="104"/>
    </row>
    <row r="838" spans="1:8" ht="12.75" customHeight="1">
      <c r="A838" s="104"/>
      <c r="B838" s="104"/>
      <c r="C838" s="104"/>
      <c r="D838" s="104"/>
      <c r="E838" s="104"/>
      <c r="F838" s="104"/>
      <c r="G838" s="104"/>
      <c r="H838" s="104"/>
    </row>
    <row r="839" spans="1:8" ht="12.75" customHeight="1">
      <c r="A839" s="104"/>
      <c r="B839" s="104"/>
      <c r="C839" s="104"/>
      <c r="D839" s="104"/>
      <c r="E839" s="104"/>
      <c r="F839" s="104"/>
      <c r="G839" s="104"/>
      <c r="H839" s="104"/>
    </row>
    <row r="840" spans="1:8" ht="12.75" customHeight="1">
      <c r="A840" s="104"/>
      <c r="B840" s="104"/>
      <c r="C840" s="104"/>
      <c r="D840" s="104"/>
      <c r="E840" s="104"/>
      <c r="F840" s="104"/>
      <c r="G840" s="104"/>
      <c r="H840" s="104"/>
    </row>
    <row r="841" spans="1:8" ht="12.75" customHeight="1">
      <c r="A841" s="104"/>
      <c r="B841" s="104"/>
      <c r="C841" s="104"/>
      <c r="D841" s="104"/>
      <c r="E841" s="104"/>
      <c r="F841" s="104"/>
      <c r="G841" s="104"/>
      <c r="H841" s="104"/>
    </row>
    <row r="842" spans="1:8" ht="12.75" customHeight="1">
      <c r="A842" s="104"/>
      <c r="B842" s="104"/>
      <c r="C842" s="104"/>
      <c r="D842" s="104"/>
      <c r="E842" s="104"/>
      <c r="F842" s="104"/>
      <c r="G842" s="104"/>
      <c r="H842" s="104"/>
    </row>
    <row r="843" spans="1:8" ht="12.75" customHeight="1">
      <c r="A843" s="104"/>
      <c r="B843" s="104"/>
      <c r="C843" s="104"/>
      <c r="D843" s="104"/>
      <c r="E843" s="104"/>
      <c r="F843" s="104"/>
      <c r="G843" s="104"/>
      <c r="H843" s="104"/>
    </row>
    <row r="844" spans="1:8" ht="12.75" customHeight="1">
      <c r="A844" s="104"/>
      <c r="B844" s="104"/>
      <c r="C844" s="104"/>
      <c r="D844" s="104"/>
      <c r="E844" s="104"/>
      <c r="F844" s="104"/>
      <c r="G844" s="104"/>
      <c r="H844" s="104"/>
    </row>
    <row r="845" spans="1:8" ht="12.75" customHeight="1">
      <c r="A845" s="104"/>
      <c r="B845" s="104"/>
      <c r="C845" s="104"/>
      <c r="D845" s="104"/>
      <c r="E845" s="104"/>
      <c r="F845" s="104"/>
      <c r="G845" s="104"/>
      <c r="H845" s="104"/>
    </row>
    <row r="846" spans="1:8" ht="12.75" customHeight="1">
      <c r="A846" s="104"/>
      <c r="B846" s="104"/>
      <c r="C846" s="104"/>
      <c r="D846" s="104"/>
      <c r="E846" s="104"/>
      <c r="F846" s="104"/>
      <c r="G846" s="104"/>
      <c r="H846" s="104"/>
    </row>
    <row r="847" spans="1:8" ht="12.75" customHeight="1">
      <c r="A847" s="104"/>
      <c r="B847" s="104"/>
      <c r="C847" s="104"/>
      <c r="D847" s="104"/>
      <c r="E847" s="104"/>
      <c r="F847" s="104"/>
      <c r="G847" s="104"/>
      <c r="H847" s="104"/>
    </row>
    <row r="848" spans="1:8" ht="12.75" customHeight="1">
      <c r="A848" s="104"/>
      <c r="B848" s="104"/>
      <c r="C848" s="104"/>
      <c r="D848" s="104"/>
      <c r="E848" s="104"/>
      <c r="F848" s="104"/>
      <c r="G848" s="104"/>
      <c r="H848" s="104"/>
    </row>
    <row r="849" spans="1:8" ht="12.75" customHeight="1">
      <c r="A849" s="104"/>
      <c r="B849" s="104"/>
      <c r="C849" s="104"/>
      <c r="D849" s="104"/>
      <c r="E849" s="104"/>
      <c r="F849" s="104"/>
      <c r="G849" s="104"/>
      <c r="H849" s="104"/>
    </row>
    <row r="850" spans="1:8" ht="12.75" customHeight="1">
      <c r="A850" s="104"/>
      <c r="B850" s="104"/>
      <c r="C850" s="104"/>
      <c r="D850" s="104"/>
      <c r="E850" s="104"/>
      <c r="F850" s="104"/>
      <c r="G850" s="104"/>
      <c r="H850" s="104"/>
    </row>
    <row r="851" spans="1:8" ht="12.75" customHeight="1">
      <c r="A851" s="104"/>
      <c r="B851" s="104"/>
      <c r="C851" s="104"/>
      <c r="D851" s="104"/>
      <c r="E851" s="104"/>
      <c r="F851" s="104"/>
      <c r="G851" s="104"/>
      <c r="H851" s="104"/>
    </row>
    <row r="852" spans="1:8" ht="12.75" customHeight="1">
      <c r="A852" s="104"/>
      <c r="B852" s="104"/>
      <c r="C852" s="104"/>
      <c r="D852" s="104"/>
      <c r="E852" s="104"/>
      <c r="F852" s="104"/>
      <c r="G852" s="104"/>
      <c r="H852" s="104"/>
    </row>
    <row r="853" spans="1:8" ht="12.75" customHeight="1">
      <c r="A853" s="104"/>
      <c r="B853" s="104"/>
      <c r="C853" s="104"/>
      <c r="D853" s="104"/>
      <c r="E853" s="104"/>
      <c r="F853" s="104"/>
      <c r="G853" s="104"/>
      <c r="H853" s="104"/>
    </row>
    <row r="854" spans="1:8" ht="12.75" customHeight="1">
      <c r="A854" s="104"/>
      <c r="B854" s="104"/>
      <c r="C854" s="104"/>
      <c r="D854" s="104"/>
      <c r="E854" s="104"/>
      <c r="F854" s="104"/>
      <c r="G854" s="104"/>
      <c r="H854" s="104"/>
    </row>
    <row r="855" spans="1:8" ht="12.75" customHeight="1">
      <c r="A855" s="104"/>
      <c r="B855" s="104"/>
      <c r="C855" s="104"/>
      <c r="D855" s="104"/>
      <c r="E855" s="104"/>
      <c r="F855" s="104"/>
      <c r="G855" s="104"/>
      <c r="H855" s="104"/>
    </row>
    <row r="856" spans="1:8" ht="12.75" customHeight="1">
      <c r="A856" s="104"/>
      <c r="B856" s="104"/>
      <c r="C856" s="104"/>
      <c r="D856" s="104"/>
      <c r="E856" s="104"/>
      <c r="F856" s="104"/>
      <c r="G856" s="104"/>
      <c r="H856" s="104"/>
    </row>
    <row r="857" spans="1:8" ht="12.75" customHeight="1">
      <c r="A857" s="104"/>
      <c r="B857" s="104"/>
      <c r="C857" s="104"/>
      <c r="D857" s="104"/>
      <c r="E857" s="104"/>
      <c r="F857" s="104"/>
      <c r="G857" s="104"/>
      <c r="H857" s="104"/>
    </row>
    <row r="858" spans="1:8" ht="12.75" customHeight="1">
      <c r="A858" s="104"/>
      <c r="B858" s="104"/>
      <c r="C858" s="104"/>
      <c r="D858" s="104"/>
      <c r="E858" s="104"/>
      <c r="F858" s="104"/>
      <c r="G858" s="104"/>
      <c r="H858" s="104"/>
    </row>
    <row r="859" spans="1:8" ht="12.75" customHeight="1">
      <c r="A859" s="104"/>
      <c r="B859" s="104"/>
      <c r="C859" s="104"/>
      <c r="D859" s="104"/>
      <c r="E859" s="104"/>
      <c r="F859" s="104"/>
      <c r="G859" s="104"/>
      <c r="H859" s="104"/>
    </row>
    <row r="860" spans="1:8" ht="12.75" customHeight="1">
      <c r="A860" s="104"/>
      <c r="B860" s="104"/>
      <c r="C860" s="104"/>
      <c r="D860" s="104"/>
      <c r="E860" s="104"/>
      <c r="F860" s="104"/>
      <c r="G860" s="104"/>
      <c r="H860" s="104"/>
    </row>
    <row r="861" spans="1:8" ht="12.75" customHeight="1">
      <c r="A861" s="104"/>
      <c r="B861" s="104"/>
      <c r="C861" s="104"/>
      <c r="D861" s="104"/>
      <c r="E861" s="104"/>
      <c r="F861" s="104"/>
      <c r="G861" s="104"/>
      <c r="H861" s="104"/>
    </row>
    <row r="862" spans="1:8" ht="12.75" customHeight="1">
      <c r="A862" s="104"/>
      <c r="B862" s="104"/>
      <c r="C862" s="104"/>
      <c r="D862" s="104"/>
      <c r="E862" s="104"/>
      <c r="F862" s="104"/>
      <c r="G862" s="104"/>
      <c r="H862" s="104"/>
    </row>
    <row r="863" spans="1:8" ht="12.75" customHeight="1">
      <c r="A863" s="104"/>
      <c r="B863" s="104"/>
      <c r="C863" s="104"/>
      <c r="D863" s="104"/>
      <c r="E863" s="104"/>
      <c r="F863" s="104"/>
      <c r="G863" s="104"/>
      <c r="H863" s="104"/>
    </row>
    <row r="864" spans="1:8" ht="12.75" customHeight="1">
      <c r="A864" s="104"/>
      <c r="B864" s="104"/>
      <c r="C864" s="104"/>
      <c r="D864" s="104"/>
      <c r="E864" s="104"/>
      <c r="F864" s="104"/>
      <c r="G864" s="104"/>
      <c r="H864" s="104"/>
    </row>
    <row r="865" spans="1:8" ht="12.75" customHeight="1">
      <c r="A865" s="104"/>
      <c r="B865" s="104"/>
      <c r="C865" s="104"/>
      <c r="D865" s="104"/>
      <c r="E865" s="104"/>
      <c r="F865" s="104"/>
      <c r="G865" s="104"/>
      <c r="H865" s="104"/>
    </row>
    <row r="866" spans="1:8" ht="12.75" customHeight="1">
      <c r="A866" s="104"/>
      <c r="B866" s="104"/>
      <c r="C866" s="104"/>
      <c r="D866" s="104"/>
      <c r="E866" s="104"/>
      <c r="F866" s="104"/>
      <c r="G866" s="104"/>
      <c r="H866" s="104"/>
    </row>
    <row r="867" spans="1:8" ht="12.75" customHeight="1">
      <c r="A867" s="104"/>
      <c r="B867" s="104"/>
      <c r="C867" s="104"/>
      <c r="D867" s="104"/>
      <c r="E867" s="104"/>
      <c r="F867" s="104"/>
      <c r="G867" s="104"/>
      <c r="H867" s="104"/>
    </row>
    <row r="868" spans="1:8" ht="12.75" customHeight="1">
      <c r="A868" s="104"/>
      <c r="B868" s="104"/>
      <c r="C868" s="104"/>
      <c r="D868" s="104"/>
      <c r="E868" s="104"/>
      <c r="F868" s="104"/>
      <c r="G868" s="104"/>
      <c r="H868" s="104"/>
    </row>
    <row r="869" spans="1:8" ht="12.75" customHeight="1">
      <c r="A869" s="104"/>
      <c r="B869" s="104"/>
      <c r="C869" s="104"/>
      <c r="D869" s="104"/>
      <c r="E869" s="104"/>
      <c r="F869" s="104"/>
      <c r="G869" s="104"/>
      <c r="H869" s="104"/>
    </row>
    <row r="870" spans="1:8" ht="12.75" customHeight="1">
      <c r="A870" s="104"/>
      <c r="B870" s="104"/>
      <c r="C870" s="104"/>
      <c r="D870" s="104"/>
      <c r="E870" s="104"/>
      <c r="F870" s="104"/>
      <c r="G870" s="104"/>
      <c r="H870" s="104"/>
    </row>
    <row r="871" spans="1:8" ht="12.75" customHeight="1">
      <c r="A871" s="104"/>
      <c r="B871" s="104"/>
      <c r="C871" s="104"/>
      <c r="D871" s="104"/>
      <c r="E871" s="104"/>
      <c r="F871" s="104"/>
      <c r="G871" s="104"/>
      <c r="H871" s="104"/>
    </row>
    <row r="872" spans="1:8" ht="12.75" customHeight="1">
      <c r="A872" s="104"/>
      <c r="B872" s="104"/>
      <c r="C872" s="104"/>
      <c r="D872" s="104"/>
      <c r="E872" s="104"/>
      <c r="F872" s="104"/>
      <c r="G872" s="104"/>
      <c r="H872" s="104"/>
    </row>
    <row r="873" spans="1:8" ht="12.75" customHeight="1">
      <c r="A873" s="104"/>
      <c r="B873" s="104"/>
      <c r="C873" s="104"/>
      <c r="D873" s="104"/>
      <c r="E873" s="104"/>
      <c r="F873" s="104"/>
      <c r="G873" s="104"/>
      <c r="H873" s="104"/>
    </row>
    <row r="874" spans="1:8" ht="12.75" customHeight="1">
      <c r="A874" s="104"/>
      <c r="B874" s="104"/>
      <c r="C874" s="104"/>
      <c r="D874" s="104"/>
      <c r="E874" s="104"/>
      <c r="F874" s="104"/>
      <c r="G874" s="104"/>
      <c r="H874" s="104"/>
    </row>
    <row r="875" spans="1:8" ht="12.75" customHeight="1">
      <c r="A875" s="104"/>
      <c r="B875" s="104"/>
      <c r="C875" s="104"/>
      <c r="D875" s="104"/>
      <c r="E875" s="104"/>
      <c r="F875" s="104"/>
      <c r="G875" s="104"/>
      <c r="H875" s="104"/>
    </row>
    <row r="876" spans="1:8" ht="12.75" customHeight="1">
      <c r="A876" s="104"/>
      <c r="B876" s="104"/>
      <c r="C876" s="104"/>
      <c r="D876" s="104"/>
      <c r="E876" s="104"/>
      <c r="F876" s="104"/>
      <c r="G876" s="104"/>
      <c r="H876" s="104"/>
    </row>
    <row r="877" spans="1:8" ht="12.75" customHeight="1">
      <c r="A877" s="104"/>
      <c r="B877" s="104"/>
      <c r="C877" s="104"/>
      <c r="D877" s="104"/>
      <c r="E877" s="104"/>
      <c r="F877" s="104"/>
      <c r="G877" s="104"/>
      <c r="H877" s="104"/>
    </row>
    <row r="878" spans="1:8" ht="12.75" customHeight="1">
      <c r="A878" s="104"/>
      <c r="B878" s="104"/>
      <c r="C878" s="104"/>
      <c r="D878" s="104"/>
      <c r="E878" s="104"/>
      <c r="F878" s="104"/>
      <c r="G878" s="104"/>
      <c r="H878" s="104"/>
    </row>
    <row r="879" spans="1:8" ht="12.75" customHeight="1">
      <c r="A879" s="104"/>
      <c r="B879" s="104"/>
      <c r="C879" s="104"/>
      <c r="D879" s="104"/>
      <c r="E879" s="104"/>
      <c r="F879" s="104"/>
      <c r="G879" s="104"/>
      <c r="H879" s="104"/>
    </row>
    <row r="880" spans="1:8" ht="12.75" customHeight="1">
      <c r="A880" s="104"/>
      <c r="B880" s="104"/>
      <c r="C880" s="104"/>
      <c r="D880" s="104"/>
      <c r="E880" s="104"/>
      <c r="F880" s="104"/>
      <c r="G880" s="104"/>
      <c r="H880" s="104"/>
    </row>
    <row r="881" spans="1:8" ht="12.75" customHeight="1">
      <c r="A881" s="104"/>
      <c r="B881" s="104"/>
      <c r="C881" s="104"/>
      <c r="D881" s="104"/>
      <c r="E881" s="104"/>
      <c r="F881" s="104"/>
      <c r="G881" s="104"/>
      <c r="H881" s="104"/>
    </row>
    <row r="882" spans="1:8" ht="12.75" customHeight="1">
      <c r="A882" s="104"/>
      <c r="B882" s="104"/>
      <c r="C882" s="104"/>
      <c r="D882" s="104"/>
      <c r="E882" s="104"/>
      <c r="F882" s="104"/>
      <c r="G882" s="104"/>
      <c r="H882" s="104"/>
    </row>
    <row r="883" spans="1:8" ht="12.75" customHeight="1">
      <c r="A883" s="104"/>
      <c r="B883" s="104"/>
      <c r="C883" s="104"/>
      <c r="D883" s="104"/>
      <c r="E883" s="104"/>
      <c r="F883" s="104"/>
      <c r="G883" s="104"/>
      <c r="H883" s="104"/>
    </row>
    <row r="884" spans="1:8" ht="12.75" customHeight="1">
      <c r="A884" s="104"/>
      <c r="B884" s="104"/>
      <c r="C884" s="104"/>
      <c r="D884" s="104"/>
      <c r="E884" s="104"/>
      <c r="F884" s="104"/>
      <c r="G884" s="104"/>
      <c r="H884" s="104"/>
    </row>
    <row r="885" spans="1:8" ht="12.75" customHeight="1">
      <c r="A885" s="104"/>
      <c r="B885" s="104"/>
      <c r="C885" s="104"/>
      <c r="D885" s="104"/>
      <c r="E885" s="104"/>
      <c r="F885" s="104"/>
      <c r="G885" s="104"/>
      <c r="H885" s="104"/>
    </row>
    <row r="886" spans="1:8" ht="12.75" customHeight="1">
      <c r="A886" s="104"/>
      <c r="B886" s="104"/>
      <c r="C886" s="104"/>
      <c r="D886" s="104"/>
      <c r="E886" s="104"/>
      <c r="F886" s="104"/>
      <c r="G886" s="104"/>
      <c r="H886" s="104"/>
    </row>
    <row r="887" spans="1:8" ht="12.75" customHeight="1">
      <c r="A887" s="104"/>
      <c r="B887" s="104"/>
      <c r="C887" s="104"/>
      <c r="D887" s="104"/>
      <c r="E887" s="104"/>
      <c r="F887" s="104"/>
      <c r="G887" s="104"/>
      <c r="H887" s="104"/>
    </row>
    <row r="888" spans="1:8" ht="12.75" customHeight="1">
      <c r="A888" s="104"/>
      <c r="B888" s="104"/>
      <c r="C888" s="104"/>
      <c r="D888" s="104"/>
      <c r="E888" s="104"/>
      <c r="F888" s="104"/>
      <c r="G888" s="104"/>
      <c r="H888" s="104"/>
    </row>
    <row r="889" spans="1:8" ht="12.75" customHeight="1">
      <c r="A889" s="104"/>
      <c r="B889" s="104"/>
      <c r="C889" s="104"/>
      <c r="D889" s="104"/>
      <c r="E889" s="104"/>
      <c r="F889" s="104"/>
      <c r="G889" s="104"/>
      <c r="H889" s="104"/>
    </row>
    <row r="890" spans="1:8" ht="12.75" customHeight="1">
      <c r="A890" s="104"/>
      <c r="B890" s="104"/>
      <c r="C890" s="104"/>
      <c r="D890" s="104"/>
      <c r="E890" s="104"/>
      <c r="F890" s="104"/>
      <c r="G890" s="104"/>
      <c r="H890" s="104"/>
    </row>
    <row r="891" spans="1:8" ht="12.75" customHeight="1">
      <c r="A891" s="104"/>
      <c r="B891" s="104"/>
      <c r="C891" s="104"/>
      <c r="D891" s="104"/>
      <c r="E891" s="104"/>
      <c r="F891" s="104"/>
      <c r="G891" s="104"/>
      <c r="H891" s="104"/>
    </row>
    <row r="892" spans="1:8" ht="12.75" customHeight="1">
      <c r="A892" s="104"/>
      <c r="B892" s="104"/>
      <c r="C892" s="104"/>
      <c r="D892" s="104"/>
      <c r="E892" s="104"/>
      <c r="F892" s="104"/>
      <c r="G892" s="104"/>
      <c r="H892" s="104"/>
    </row>
    <row r="893" spans="1:8" ht="12.75" customHeight="1">
      <c r="A893" s="104"/>
      <c r="B893" s="104"/>
      <c r="C893" s="104"/>
      <c r="D893" s="104"/>
      <c r="E893" s="104"/>
      <c r="F893" s="104"/>
      <c r="G893" s="104"/>
      <c r="H893" s="104"/>
    </row>
    <row r="894" spans="1:8" ht="12.75" customHeight="1">
      <c r="A894" s="104"/>
      <c r="B894" s="104"/>
      <c r="C894" s="104"/>
      <c r="D894" s="104"/>
      <c r="E894" s="104"/>
      <c r="F894" s="104"/>
      <c r="G894" s="104"/>
      <c r="H894" s="104"/>
    </row>
    <row r="895" spans="1:8" ht="12.75" customHeight="1">
      <c r="A895" s="104"/>
      <c r="B895" s="104"/>
      <c r="C895" s="104"/>
      <c r="D895" s="104"/>
      <c r="E895" s="104"/>
      <c r="F895" s="104"/>
      <c r="G895" s="104"/>
      <c r="H895" s="104"/>
    </row>
    <row r="896" spans="1:8" ht="12.75" customHeight="1">
      <c r="A896" s="104"/>
      <c r="B896" s="104"/>
      <c r="C896" s="104"/>
      <c r="D896" s="104"/>
      <c r="E896" s="104"/>
      <c r="F896" s="104"/>
      <c r="G896" s="104"/>
      <c r="H896" s="104"/>
    </row>
    <row r="897" spans="1:8" ht="12.75" customHeight="1">
      <c r="A897" s="104"/>
      <c r="B897" s="104"/>
      <c r="C897" s="104"/>
      <c r="D897" s="104"/>
      <c r="E897" s="104"/>
      <c r="F897" s="104"/>
      <c r="G897" s="104"/>
      <c r="H897" s="104"/>
    </row>
    <row r="898" spans="1:8" ht="12.75" customHeight="1">
      <c r="A898" s="104"/>
      <c r="B898" s="104"/>
      <c r="C898" s="104"/>
      <c r="D898" s="104"/>
      <c r="E898" s="104"/>
      <c r="F898" s="104"/>
      <c r="G898" s="104"/>
      <c r="H898" s="104"/>
    </row>
    <row r="899" spans="1:8" ht="12.75" customHeight="1">
      <c r="A899" s="104"/>
      <c r="B899" s="104"/>
      <c r="C899" s="104"/>
      <c r="D899" s="104"/>
      <c r="E899" s="104"/>
      <c r="F899" s="104"/>
      <c r="G899" s="104"/>
      <c r="H899" s="104"/>
    </row>
    <row r="900" spans="1:8" ht="12.75" customHeight="1">
      <c r="A900" s="104"/>
      <c r="B900" s="104"/>
      <c r="C900" s="104"/>
      <c r="D900" s="104"/>
      <c r="E900" s="104"/>
      <c r="F900" s="104"/>
      <c r="G900" s="104"/>
      <c r="H900" s="104"/>
    </row>
    <row r="901" spans="1:8" ht="12.75" customHeight="1">
      <c r="A901" s="104"/>
      <c r="B901" s="104"/>
      <c r="C901" s="104"/>
      <c r="D901" s="104"/>
      <c r="E901" s="104"/>
      <c r="F901" s="104"/>
      <c r="G901" s="104"/>
      <c r="H901" s="104"/>
    </row>
    <row r="902" spans="1:8" ht="12.75" customHeight="1">
      <c r="A902" s="104"/>
      <c r="B902" s="104"/>
      <c r="C902" s="104"/>
      <c r="D902" s="104"/>
      <c r="E902" s="104"/>
      <c r="F902" s="104"/>
      <c r="G902" s="104"/>
      <c r="H902" s="104"/>
    </row>
    <row r="903" spans="1:8" ht="12.75" customHeight="1">
      <c r="A903" s="104"/>
      <c r="B903" s="104"/>
      <c r="C903" s="104"/>
      <c r="D903" s="104"/>
      <c r="E903" s="104"/>
      <c r="F903" s="104"/>
      <c r="G903" s="104"/>
      <c r="H903" s="104"/>
    </row>
    <row r="904" spans="1:8" ht="12.75" customHeight="1">
      <c r="A904" s="104"/>
      <c r="B904" s="104"/>
      <c r="C904" s="104"/>
      <c r="D904" s="104"/>
      <c r="E904" s="104"/>
      <c r="F904" s="104"/>
      <c r="G904" s="104"/>
      <c r="H904" s="104"/>
    </row>
    <row r="905" spans="1:8" ht="12.75" customHeight="1">
      <c r="A905" s="104"/>
      <c r="B905" s="104"/>
      <c r="C905" s="104"/>
      <c r="D905" s="104"/>
      <c r="E905" s="104"/>
      <c r="F905" s="104"/>
      <c r="G905" s="104"/>
      <c r="H905" s="104"/>
    </row>
    <row r="906" spans="1:8" ht="12.75" customHeight="1">
      <c r="A906" s="104"/>
      <c r="B906" s="104"/>
      <c r="C906" s="104"/>
      <c r="D906" s="104"/>
      <c r="E906" s="104"/>
      <c r="F906" s="104"/>
      <c r="G906" s="104"/>
      <c r="H906" s="104"/>
    </row>
    <row r="907" spans="1:8" ht="12.75" customHeight="1">
      <c r="A907" s="104"/>
      <c r="B907" s="104"/>
      <c r="C907" s="104"/>
      <c r="D907" s="104"/>
      <c r="E907" s="104"/>
      <c r="F907" s="104"/>
      <c r="G907" s="104"/>
      <c r="H907" s="104"/>
    </row>
    <row r="908" spans="1:8" ht="12.75" customHeight="1">
      <c r="A908" s="104"/>
      <c r="B908" s="104"/>
      <c r="C908" s="104"/>
      <c r="D908" s="104"/>
      <c r="E908" s="104"/>
      <c r="F908" s="104"/>
      <c r="G908" s="104"/>
      <c r="H908" s="104"/>
    </row>
    <row r="909" spans="1:8" ht="12.75" customHeight="1">
      <c r="A909" s="104"/>
      <c r="B909" s="104"/>
      <c r="C909" s="104"/>
      <c r="D909" s="104"/>
      <c r="E909" s="104"/>
      <c r="F909" s="104"/>
      <c r="G909" s="104"/>
      <c r="H909" s="104"/>
    </row>
    <row r="910" spans="1:8" ht="12.75" customHeight="1">
      <c r="A910" s="104"/>
      <c r="B910" s="104"/>
      <c r="C910" s="104"/>
      <c r="D910" s="104"/>
      <c r="E910" s="104"/>
      <c r="F910" s="104"/>
      <c r="G910" s="104"/>
      <c r="H910" s="104"/>
    </row>
    <row r="911" spans="1:8" ht="12.75" customHeight="1">
      <c r="A911" s="104"/>
      <c r="B911" s="104"/>
      <c r="C911" s="104"/>
      <c r="D911" s="104"/>
      <c r="E911" s="104"/>
      <c r="F911" s="104"/>
      <c r="G911" s="104"/>
      <c r="H911" s="104"/>
    </row>
    <row r="912" spans="1:8" ht="12.75" customHeight="1">
      <c r="A912" s="104"/>
      <c r="B912" s="104"/>
      <c r="C912" s="104"/>
      <c r="D912" s="104"/>
      <c r="E912" s="104"/>
      <c r="F912" s="104"/>
      <c r="G912" s="104"/>
      <c r="H912" s="104"/>
    </row>
    <row r="913" spans="1:8" ht="12.75" customHeight="1">
      <c r="A913" s="104"/>
      <c r="B913" s="104"/>
      <c r="C913" s="104"/>
      <c r="D913" s="104"/>
      <c r="E913" s="104"/>
      <c r="F913" s="104"/>
      <c r="G913" s="104"/>
      <c r="H913" s="104"/>
    </row>
    <row r="914" spans="1:8" ht="12.75" customHeight="1">
      <c r="A914" s="104"/>
      <c r="B914" s="104"/>
      <c r="C914" s="104"/>
      <c r="D914" s="104"/>
      <c r="E914" s="104"/>
      <c r="F914" s="104"/>
      <c r="G914" s="104"/>
      <c r="H914" s="104"/>
    </row>
    <row r="915" spans="1:8" ht="12.75" customHeight="1">
      <c r="A915" s="104"/>
      <c r="B915" s="104"/>
      <c r="C915" s="104"/>
      <c r="D915" s="104"/>
      <c r="E915" s="104"/>
      <c r="F915" s="104"/>
      <c r="G915" s="104"/>
      <c r="H915" s="104"/>
    </row>
    <row r="916" spans="1:8" ht="12.75" customHeight="1">
      <c r="A916" s="104"/>
      <c r="B916" s="104"/>
      <c r="C916" s="104"/>
      <c r="D916" s="104"/>
      <c r="E916" s="104"/>
      <c r="F916" s="104"/>
      <c r="G916" s="104"/>
      <c r="H916" s="104"/>
    </row>
    <row r="917" spans="1:8" ht="12.75" customHeight="1">
      <c r="A917" s="104"/>
      <c r="B917" s="104"/>
      <c r="C917" s="104"/>
      <c r="D917" s="104"/>
      <c r="E917" s="104"/>
      <c r="F917" s="104"/>
      <c r="G917" s="104"/>
      <c r="H917" s="104"/>
    </row>
    <row r="918" spans="1:8" ht="12.75" customHeight="1">
      <c r="A918" s="104"/>
      <c r="B918" s="104"/>
      <c r="C918" s="104"/>
      <c r="D918" s="104"/>
      <c r="E918" s="104"/>
      <c r="F918" s="104"/>
      <c r="G918" s="104"/>
      <c r="H918" s="104"/>
    </row>
    <row r="919" spans="1:8" ht="12.75" customHeight="1">
      <c r="A919" s="104"/>
      <c r="B919" s="104"/>
      <c r="C919" s="104"/>
      <c r="D919" s="104"/>
      <c r="E919" s="104"/>
      <c r="F919" s="104"/>
      <c r="G919" s="104"/>
      <c r="H919" s="104"/>
    </row>
    <row r="920" spans="1:8" ht="12.75" customHeight="1">
      <c r="A920" s="104"/>
      <c r="B920" s="104"/>
      <c r="C920" s="104"/>
      <c r="D920" s="104"/>
      <c r="E920" s="104"/>
      <c r="F920" s="104"/>
      <c r="G920" s="104"/>
      <c r="H920" s="104"/>
    </row>
    <row r="921" spans="1:8" ht="12.75" customHeight="1">
      <c r="A921" s="104"/>
      <c r="B921" s="104"/>
      <c r="C921" s="104"/>
      <c r="D921" s="104"/>
      <c r="E921" s="104"/>
      <c r="F921" s="104"/>
      <c r="G921" s="104"/>
      <c r="H921" s="104"/>
    </row>
    <row r="922" spans="1:8" ht="12.75" customHeight="1">
      <c r="A922" s="104"/>
      <c r="B922" s="104"/>
      <c r="C922" s="104"/>
      <c r="D922" s="104"/>
      <c r="E922" s="104"/>
      <c r="F922" s="104"/>
      <c r="G922" s="104"/>
      <c r="H922" s="104"/>
    </row>
    <row r="923" spans="1:8" ht="12.75" customHeight="1">
      <c r="A923" s="104"/>
      <c r="B923" s="104"/>
      <c r="C923" s="104"/>
      <c r="D923" s="104"/>
      <c r="E923" s="104"/>
      <c r="F923" s="104"/>
      <c r="G923" s="104"/>
      <c r="H923" s="104"/>
    </row>
    <row r="924" spans="1:8" ht="12.75" customHeight="1">
      <c r="A924" s="104"/>
      <c r="B924" s="104"/>
      <c r="C924" s="104"/>
      <c r="D924" s="104"/>
      <c r="E924" s="104"/>
      <c r="F924" s="104"/>
      <c r="G924" s="104"/>
      <c r="H924" s="104"/>
    </row>
    <row r="925" spans="1:8" ht="12.75" customHeight="1">
      <c r="A925" s="104"/>
      <c r="B925" s="104"/>
      <c r="C925" s="104"/>
      <c r="D925" s="104"/>
      <c r="E925" s="104"/>
      <c r="F925" s="104"/>
      <c r="G925" s="104"/>
      <c r="H925" s="104"/>
    </row>
    <row r="926" spans="1:8" ht="12.75" customHeight="1">
      <c r="A926" s="104"/>
      <c r="B926" s="104"/>
      <c r="C926" s="104"/>
      <c r="D926" s="104"/>
      <c r="E926" s="104"/>
      <c r="F926" s="104"/>
      <c r="G926" s="104"/>
      <c r="H926" s="104"/>
    </row>
    <row r="927" spans="1:8" ht="12.75" customHeight="1">
      <c r="A927" s="104"/>
      <c r="B927" s="104"/>
      <c r="C927" s="104"/>
      <c r="D927" s="104"/>
      <c r="E927" s="104"/>
      <c r="F927" s="104"/>
      <c r="G927" s="104"/>
      <c r="H927" s="104"/>
    </row>
    <row r="928" spans="1:8" ht="12.75" customHeight="1">
      <c r="A928" s="104"/>
      <c r="B928" s="104"/>
      <c r="C928" s="104"/>
      <c r="D928" s="104"/>
      <c r="E928" s="104"/>
      <c r="F928" s="104"/>
      <c r="G928" s="104"/>
      <c r="H928" s="104"/>
    </row>
    <row r="929" spans="1:8" ht="12.75" customHeight="1">
      <c r="A929" s="104"/>
      <c r="B929" s="104"/>
      <c r="C929" s="104"/>
      <c r="D929" s="104"/>
      <c r="E929" s="104"/>
      <c r="F929" s="104"/>
      <c r="G929" s="104"/>
      <c r="H929" s="104"/>
    </row>
    <row r="930" spans="1:8" ht="12.75" customHeight="1">
      <c r="A930" s="104"/>
      <c r="B930" s="104"/>
      <c r="C930" s="104"/>
      <c r="D930" s="104"/>
      <c r="E930" s="104"/>
      <c r="F930" s="104"/>
      <c r="G930" s="104"/>
      <c r="H930" s="104"/>
    </row>
    <row r="931" spans="1:8" ht="12.75" customHeight="1">
      <c r="A931" s="104"/>
      <c r="B931" s="104"/>
      <c r="C931" s="104"/>
      <c r="D931" s="104"/>
      <c r="E931" s="104"/>
      <c r="F931" s="104"/>
      <c r="G931" s="104"/>
      <c r="H931" s="104"/>
    </row>
    <row r="932" spans="1:8" ht="12.75" customHeight="1">
      <c r="A932" s="104"/>
      <c r="B932" s="104"/>
      <c r="C932" s="104"/>
      <c r="D932" s="104"/>
      <c r="E932" s="104"/>
      <c r="F932" s="104"/>
      <c r="G932" s="104"/>
      <c r="H932" s="104"/>
    </row>
    <row r="933" spans="1:8" ht="12.75" customHeight="1">
      <c r="A933" s="104"/>
      <c r="B933" s="104"/>
      <c r="C933" s="104"/>
      <c r="D933" s="104"/>
      <c r="E933" s="104"/>
      <c r="F933" s="104"/>
      <c r="G933" s="104"/>
      <c r="H933" s="104"/>
    </row>
    <row r="934" spans="1:8" ht="12.75" customHeight="1">
      <c r="A934" s="104"/>
      <c r="B934" s="104"/>
      <c r="C934" s="104"/>
      <c r="D934" s="104"/>
      <c r="E934" s="104"/>
      <c r="F934" s="104"/>
      <c r="G934" s="104"/>
      <c r="H934" s="104"/>
    </row>
    <row r="935" spans="1:8" ht="12.75" customHeight="1">
      <c r="A935" s="104"/>
      <c r="B935" s="104"/>
      <c r="C935" s="104"/>
      <c r="D935" s="104"/>
      <c r="E935" s="104"/>
      <c r="F935" s="104"/>
      <c r="G935" s="104"/>
      <c r="H935" s="104"/>
    </row>
    <row r="936" spans="1:8" ht="12.75" customHeight="1">
      <c r="A936" s="104"/>
      <c r="B936" s="104"/>
      <c r="C936" s="104"/>
      <c r="D936" s="104"/>
      <c r="E936" s="104"/>
      <c r="F936" s="104"/>
      <c r="G936" s="104"/>
      <c r="H936" s="104"/>
    </row>
    <row r="937" spans="1:8" ht="12.75" customHeight="1">
      <c r="A937" s="104"/>
      <c r="B937" s="104"/>
      <c r="C937" s="104"/>
      <c r="D937" s="104"/>
      <c r="E937" s="104"/>
      <c r="F937" s="104"/>
      <c r="G937" s="104"/>
      <c r="H937" s="104"/>
    </row>
    <row r="938" spans="1:8" ht="12.75" customHeight="1">
      <c r="A938" s="104"/>
      <c r="B938" s="104"/>
      <c r="C938" s="104"/>
      <c r="D938" s="104"/>
      <c r="E938" s="104"/>
      <c r="F938" s="104"/>
      <c r="G938" s="104"/>
      <c r="H938" s="104"/>
    </row>
    <row r="939" spans="1:8" ht="12.75" customHeight="1">
      <c r="A939" s="104"/>
      <c r="B939" s="104"/>
      <c r="C939" s="104"/>
      <c r="D939" s="104"/>
      <c r="E939" s="104"/>
      <c r="F939" s="104"/>
      <c r="G939" s="104"/>
      <c r="H939" s="104"/>
    </row>
    <row r="940" spans="1:8" ht="12.75" customHeight="1">
      <c r="A940" s="104"/>
      <c r="B940" s="104"/>
      <c r="C940" s="104"/>
      <c r="D940" s="104"/>
      <c r="E940" s="104"/>
      <c r="F940" s="104"/>
      <c r="G940" s="104"/>
      <c r="H940" s="104"/>
    </row>
    <row r="941" spans="1:8" ht="12.75" customHeight="1">
      <c r="A941" s="104"/>
      <c r="B941" s="104"/>
      <c r="C941" s="104"/>
      <c r="D941" s="104"/>
      <c r="E941" s="104"/>
      <c r="F941" s="104"/>
      <c r="G941" s="104"/>
      <c r="H941" s="104"/>
    </row>
    <row r="942" spans="1:8" ht="12.75" customHeight="1">
      <c r="A942" s="104"/>
      <c r="B942" s="104"/>
      <c r="C942" s="104"/>
      <c r="D942" s="104"/>
      <c r="E942" s="104"/>
      <c r="F942" s="104"/>
      <c r="G942" s="104"/>
      <c r="H942" s="104"/>
    </row>
  </sheetData>
  <pageMargins left="0.7" right="0.7" top="0.75" bottom="0.75" header="0.3" footer="0.3"/>
  <pageSetup orientation="portrait"/>
  <headerFooter>
    <oddFooter>&amp;C&amp;"Helvetica,Regular"&amp;12&amp;K000000&amp;P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198"/>
  <sheetViews>
    <sheetView showGridLines="0" topLeftCell="G1" workbookViewId="0"/>
  </sheetViews>
  <sheetFormatPr baseColWidth="10" defaultColWidth="8.83203125" defaultRowHeight="14" customHeight="1"/>
  <cols>
    <col min="1" max="1" width="36" style="106" customWidth="1"/>
    <col min="2" max="2" width="7.33203125" style="106" customWidth="1"/>
    <col min="3" max="3" width="28.1640625" style="106" customWidth="1"/>
    <col min="4" max="4" width="5.5" style="106" customWidth="1"/>
    <col min="5" max="5" width="12.1640625" style="106" customWidth="1"/>
    <col min="6" max="17" width="8.83203125" style="106" customWidth="1"/>
    <col min="18" max="18" width="16.83203125" style="106" customWidth="1"/>
    <col min="19" max="256" width="8.83203125" style="106" customWidth="1"/>
  </cols>
  <sheetData>
    <row r="1" spans="1:18" ht="15" customHeight="1">
      <c r="A1" s="107"/>
      <c r="B1" s="5"/>
      <c r="C1" s="5"/>
      <c r="D1" s="5"/>
      <c r="E1" s="5"/>
      <c r="F1" s="5"/>
      <c r="G1" s="5"/>
      <c r="H1" s="5"/>
      <c r="I1" s="5"/>
      <c r="J1" s="5"/>
      <c r="K1" s="5"/>
      <c r="L1" s="5"/>
      <c r="M1" s="5"/>
      <c r="N1" s="5"/>
      <c r="O1" s="5"/>
      <c r="P1" s="5"/>
      <c r="Q1" s="5"/>
      <c r="R1" s="5"/>
    </row>
    <row r="2" spans="1:18" ht="15" customHeight="1">
      <c r="A2" s="108" t="s">
        <v>494</v>
      </c>
      <c r="B2" s="109" t="s">
        <v>495</v>
      </c>
      <c r="C2" s="37" t="s">
        <v>496</v>
      </c>
      <c r="D2" s="37" t="s">
        <v>322</v>
      </c>
      <c r="E2" s="37" t="s">
        <v>497</v>
      </c>
      <c r="F2" s="6">
        <v>2005</v>
      </c>
      <c r="G2" s="6">
        <v>2006</v>
      </c>
      <c r="H2" s="6">
        <v>2007</v>
      </c>
      <c r="I2" s="6">
        <v>2008</v>
      </c>
      <c r="J2" s="6">
        <v>2009</v>
      </c>
      <c r="K2" s="6">
        <v>2010</v>
      </c>
      <c r="L2" s="6">
        <v>2011</v>
      </c>
      <c r="M2" s="6">
        <v>2012</v>
      </c>
      <c r="N2" s="6">
        <v>2013</v>
      </c>
      <c r="O2" s="6">
        <v>2014</v>
      </c>
      <c r="P2" s="6">
        <v>2015</v>
      </c>
      <c r="Q2" s="6">
        <v>2016</v>
      </c>
      <c r="R2" s="37" t="s">
        <v>498</v>
      </c>
    </row>
    <row r="3" spans="1:18" ht="15" customHeight="1">
      <c r="A3" s="108" t="s">
        <v>499</v>
      </c>
      <c r="B3" s="109" t="s">
        <v>500</v>
      </c>
      <c r="C3" s="37" t="s">
        <v>21</v>
      </c>
      <c r="D3" s="37" t="s">
        <v>501</v>
      </c>
      <c r="E3" s="37" t="s">
        <v>8</v>
      </c>
      <c r="F3" s="4">
        <v>476000</v>
      </c>
      <c r="G3" s="4">
        <v>493483.33333333331</v>
      </c>
      <c r="H3" s="4">
        <v>482350</v>
      </c>
      <c r="I3" s="4">
        <v>448125</v>
      </c>
      <c r="J3" s="4">
        <v>404166.66666666669</v>
      </c>
      <c r="K3" s="4">
        <v>390650</v>
      </c>
      <c r="L3" s="4">
        <v>377208.33333333331</v>
      </c>
      <c r="M3" s="4">
        <v>364750</v>
      </c>
      <c r="N3" s="4">
        <v>377316.66666666669</v>
      </c>
      <c r="O3" s="4">
        <v>388366.66666666669</v>
      </c>
      <c r="P3" s="4">
        <v>395350</v>
      </c>
      <c r="Q3" s="4">
        <v>394050</v>
      </c>
      <c r="R3" s="45">
        <f t="shared" ref="R3:R34" si="0">(Q3-P3)/P3</f>
        <v>-3.288225622865815E-3</v>
      </c>
    </row>
    <row r="4" spans="1:18" ht="15" customHeight="1">
      <c r="A4" s="108" t="s">
        <v>502</v>
      </c>
      <c r="B4" s="109" t="s">
        <v>500</v>
      </c>
      <c r="C4" s="37" t="s">
        <v>3</v>
      </c>
      <c r="D4" s="37" t="s">
        <v>501</v>
      </c>
      <c r="E4" s="37" t="s">
        <v>3</v>
      </c>
      <c r="F4" s="4">
        <v>229391.66666666669</v>
      </c>
      <c r="G4" s="4">
        <v>243025</v>
      </c>
      <c r="H4" s="4">
        <v>245533.33333333331</v>
      </c>
      <c r="I4" s="4">
        <v>235333.33333333331</v>
      </c>
      <c r="J4" s="4">
        <v>223108.33333333331</v>
      </c>
      <c r="K4" s="4">
        <v>223141.66666666669</v>
      </c>
      <c r="L4" s="4">
        <v>212375</v>
      </c>
      <c r="M4" s="4">
        <v>207075</v>
      </c>
      <c r="N4" s="4">
        <v>208816.66666666669</v>
      </c>
      <c r="O4" s="4">
        <v>208850</v>
      </c>
      <c r="P4" s="4">
        <v>206875</v>
      </c>
      <c r="Q4" s="4">
        <v>210466.66666666669</v>
      </c>
      <c r="R4" s="45">
        <f t="shared" si="0"/>
        <v>1.7361530715005128E-2</v>
      </c>
    </row>
    <row r="5" spans="1:18" ht="15" customHeight="1">
      <c r="A5" s="108" t="s">
        <v>503</v>
      </c>
      <c r="B5" s="109" t="s">
        <v>500</v>
      </c>
      <c r="C5" s="37" t="s">
        <v>5</v>
      </c>
      <c r="D5" s="37" t="s">
        <v>501</v>
      </c>
      <c r="E5" s="37" t="s">
        <v>5</v>
      </c>
      <c r="F5" s="4">
        <v>257125</v>
      </c>
      <c r="G5" s="4">
        <v>269508.33333333331</v>
      </c>
      <c r="H5" s="4">
        <v>266075</v>
      </c>
      <c r="I5" s="4">
        <v>251483.33333333331</v>
      </c>
      <c r="J5" s="4">
        <v>232566.66666666669</v>
      </c>
      <c r="K5" s="4">
        <v>228133.33333333331</v>
      </c>
      <c r="L5" s="4">
        <v>216166.66666666669</v>
      </c>
      <c r="M5" s="4">
        <v>208108.33333333331</v>
      </c>
      <c r="N5" s="4">
        <v>210583.33333333331</v>
      </c>
      <c r="O5" s="4">
        <v>211816.66666666669</v>
      </c>
      <c r="P5" s="4">
        <v>213350</v>
      </c>
      <c r="Q5" s="4">
        <v>215575</v>
      </c>
      <c r="R5" s="45">
        <f t="shared" si="0"/>
        <v>1.042887274431685E-2</v>
      </c>
    </row>
    <row r="6" spans="1:18" ht="15" customHeight="1">
      <c r="A6" s="108" t="s">
        <v>504</v>
      </c>
      <c r="B6" s="109" t="s">
        <v>500</v>
      </c>
      <c r="C6" s="37" t="s">
        <v>13</v>
      </c>
      <c r="D6" s="37" t="s">
        <v>501</v>
      </c>
      <c r="E6" s="37" t="s">
        <v>13</v>
      </c>
      <c r="F6" s="4">
        <v>257491.66666666669</v>
      </c>
      <c r="G6" s="4">
        <v>268075</v>
      </c>
      <c r="H6" s="4">
        <v>266108.33333333331</v>
      </c>
      <c r="I6" s="4">
        <v>252491.66666666669</v>
      </c>
      <c r="J6" s="4">
        <v>235750</v>
      </c>
      <c r="K6" s="4">
        <v>230866.66666666669</v>
      </c>
      <c r="L6" s="4">
        <v>221283.33333333331</v>
      </c>
      <c r="M6" s="4">
        <v>209700</v>
      </c>
      <c r="N6" s="4">
        <v>214583.33333333331</v>
      </c>
      <c r="O6" s="4">
        <v>216508.33333333331</v>
      </c>
      <c r="P6" s="4">
        <v>215275</v>
      </c>
      <c r="Q6" s="4">
        <v>216308.33333333331</v>
      </c>
      <c r="R6" s="45">
        <f t="shared" si="0"/>
        <v>4.8000619362829587E-3</v>
      </c>
    </row>
    <row r="7" spans="1:18" ht="15" customHeight="1">
      <c r="A7" s="108" t="s">
        <v>505</v>
      </c>
      <c r="B7" s="109" t="s">
        <v>500</v>
      </c>
      <c r="C7" s="37" t="s">
        <v>54</v>
      </c>
      <c r="D7" s="37" t="s">
        <v>501</v>
      </c>
      <c r="E7" s="37" t="s">
        <v>32</v>
      </c>
      <c r="F7" s="4">
        <v>272500</v>
      </c>
      <c r="G7" s="4">
        <v>287341.66666666669</v>
      </c>
      <c r="H7" s="4">
        <v>285283.33333333331</v>
      </c>
      <c r="I7" s="4">
        <v>271441.66666666669</v>
      </c>
      <c r="J7" s="4">
        <v>247933.33333333331</v>
      </c>
      <c r="K7" s="4">
        <v>240158.33333333331</v>
      </c>
      <c r="L7" s="4">
        <v>230458.33333333331</v>
      </c>
      <c r="M7" s="4">
        <v>221091.66666666669</v>
      </c>
      <c r="N7" s="4">
        <v>223783.33333333331</v>
      </c>
      <c r="O7" s="4">
        <v>223841.66666666669</v>
      </c>
      <c r="P7" s="4">
        <v>225258.33333333331</v>
      </c>
      <c r="Q7" s="4">
        <v>222966.66666666669</v>
      </c>
      <c r="R7" s="45">
        <f t="shared" si="0"/>
        <v>-1.0173504494839088E-2</v>
      </c>
    </row>
    <row r="8" spans="1:18" ht="15" customHeight="1">
      <c r="A8" s="108" t="s">
        <v>506</v>
      </c>
      <c r="B8" s="109" t="s">
        <v>500</v>
      </c>
      <c r="C8" s="37" t="s">
        <v>507</v>
      </c>
      <c r="D8" s="37" t="s">
        <v>501</v>
      </c>
      <c r="E8" s="37" t="s">
        <v>3</v>
      </c>
      <c r="F8" s="4">
        <v>281958.33333333331</v>
      </c>
      <c r="G8" s="4">
        <v>297083.33333333331</v>
      </c>
      <c r="H8" s="4">
        <v>297808.33333333331</v>
      </c>
      <c r="I8" s="4">
        <v>290100</v>
      </c>
      <c r="J8" s="4">
        <v>273975</v>
      </c>
      <c r="K8" s="4">
        <v>264141.66666666669</v>
      </c>
      <c r="L8" s="4">
        <v>252708.33333333331</v>
      </c>
      <c r="M8" s="4">
        <v>247225</v>
      </c>
      <c r="N8" s="4">
        <v>256375</v>
      </c>
      <c r="O8" s="4">
        <v>258266.66666666669</v>
      </c>
      <c r="P8" s="4">
        <v>255733.33333333331</v>
      </c>
      <c r="Q8" s="4">
        <v>256016.66666666669</v>
      </c>
      <c r="R8" s="45">
        <f t="shared" si="0"/>
        <v>1.1079249217936867E-3</v>
      </c>
    </row>
    <row r="9" spans="1:18" ht="15" customHeight="1">
      <c r="A9" s="108" t="s">
        <v>508</v>
      </c>
      <c r="B9" s="109" t="s">
        <v>500</v>
      </c>
      <c r="C9" s="37" t="s">
        <v>59</v>
      </c>
      <c r="D9" s="37" t="s">
        <v>501</v>
      </c>
      <c r="E9" s="37" t="s">
        <v>3</v>
      </c>
      <c r="F9" s="4">
        <v>246150</v>
      </c>
      <c r="G9" s="4">
        <v>259650</v>
      </c>
      <c r="H9" s="4">
        <v>262091.66666666669</v>
      </c>
      <c r="I9" s="4">
        <v>247666.66666666669</v>
      </c>
      <c r="J9" s="4">
        <v>236575</v>
      </c>
      <c r="K9" s="4">
        <v>234758.33333333331</v>
      </c>
      <c r="L9" s="4">
        <v>226700</v>
      </c>
      <c r="M9" s="4">
        <v>218033.33333333331</v>
      </c>
      <c r="N9" s="4">
        <v>218241.66666666669</v>
      </c>
      <c r="O9" s="4">
        <v>222450</v>
      </c>
      <c r="P9" s="4">
        <v>216283.33333333331</v>
      </c>
      <c r="Q9" s="4">
        <v>217983.33333333331</v>
      </c>
      <c r="R9" s="45">
        <f t="shared" si="0"/>
        <v>7.8600601063419911E-3</v>
      </c>
    </row>
    <row r="10" spans="1:18" ht="15" customHeight="1">
      <c r="A10" s="108" t="s">
        <v>509</v>
      </c>
      <c r="B10" s="109" t="s">
        <v>500</v>
      </c>
      <c r="C10" s="37" t="s">
        <v>89</v>
      </c>
      <c r="D10" s="37" t="s">
        <v>501</v>
      </c>
      <c r="E10" s="37" t="s">
        <v>510</v>
      </c>
      <c r="F10" s="4">
        <v>215825</v>
      </c>
      <c r="G10" s="4">
        <v>229150</v>
      </c>
      <c r="H10" s="4">
        <v>227766.66666666669</v>
      </c>
      <c r="I10" s="4">
        <v>209391.66666666669</v>
      </c>
      <c r="J10" s="4">
        <v>196116.66666666669</v>
      </c>
      <c r="K10" s="4">
        <v>189375</v>
      </c>
      <c r="L10" s="4">
        <v>177341.66666666669</v>
      </c>
      <c r="M10" s="4">
        <v>169858.33333333331</v>
      </c>
      <c r="N10" s="4">
        <v>170958.33333333331</v>
      </c>
      <c r="O10" s="4">
        <v>171083.33333333331</v>
      </c>
      <c r="P10" s="4">
        <v>171783.33333333331</v>
      </c>
      <c r="Q10" s="4">
        <v>178058.33333333331</v>
      </c>
      <c r="R10" s="45">
        <f t="shared" si="0"/>
        <v>3.6528572814592028E-2</v>
      </c>
    </row>
    <row r="11" spans="1:18" ht="15" customHeight="1">
      <c r="A11" s="108" t="s">
        <v>511</v>
      </c>
      <c r="B11" s="109" t="s">
        <v>258</v>
      </c>
      <c r="C11" s="37" t="s">
        <v>4</v>
      </c>
      <c r="D11" s="37" t="s">
        <v>501</v>
      </c>
      <c r="E11" s="37" t="s">
        <v>8</v>
      </c>
      <c r="F11" s="4">
        <v>216808.33333333331</v>
      </c>
      <c r="G11" s="4">
        <v>235825</v>
      </c>
      <c r="H11" s="4">
        <v>237433.33333333331</v>
      </c>
      <c r="I11" s="4">
        <v>214575</v>
      </c>
      <c r="J11" s="4">
        <v>179308.33333333331</v>
      </c>
      <c r="K11" s="4">
        <v>169808.33333333331</v>
      </c>
      <c r="L11" s="4">
        <v>151491.66666666669</v>
      </c>
      <c r="M11" s="4">
        <v>137866.66666666669</v>
      </c>
      <c r="N11" s="4">
        <v>143358.33333333331</v>
      </c>
      <c r="O11" s="4">
        <v>147075</v>
      </c>
      <c r="P11" s="4">
        <v>146358.33333333331</v>
      </c>
      <c r="Q11" s="4">
        <v>154000</v>
      </c>
      <c r="R11" s="45">
        <f t="shared" si="0"/>
        <v>5.2212036667995357E-2</v>
      </c>
    </row>
    <row r="12" spans="1:18" ht="15" customHeight="1">
      <c r="A12" s="108" t="s">
        <v>512</v>
      </c>
      <c r="B12" s="109" t="s">
        <v>258</v>
      </c>
      <c r="C12" s="37" t="s">
        <v>5</v>
      </c>
      <c r="D12" s="37" t="s">
        <v>501</v>
      </c>
      <c r="E12" s="37" t="s">
        <v>5</v>
      </c>
      <c r="F12" s="4">
        <v>195983.33333333331</v>
      </c>
      <c r="G12" s="4">
        <v>216808.33333333331</v>
      </c>
      <c r="H12" s="4">
        <v>219508.33333333331</v>
      </c>
      <c r="I12" s="4">
        <v>202925</v>
      </c>
      <c r="J12" s="4">
        <v>187366.66666666669</v>
      </c>
      <c r="K12" s="4">
        <v>178075</v>
      </c>
      <c r="L12" s="4">
        <v>167425</v>
      </c>
      <c r="M12" s="4">
        <v>156075</v>
      </c>
      <c r="N12" s="4">
        <v>158700</v>
      </c>
      <c r="O12" s="4">
        <v>156750</v>
      </c>
      <c r="P12" s="4">
        <v>156700</v>
      </c>
      <c r="Q12" s="4">
        <v>160275</v>
      </c>
      <c r="R12" s="45">
        <f t="shared" si="0"/>
        <v>2.2814294830887046E-2</v>
      </c>
    </row>
    <row r="13" spans="1:18" ht="15" customHeight="1">
      <c r="A13" s="108" t="s">
        <v>513</v>
      </c>
      <c r="B13" s="109" t="s">
        <v>258</v>
      </c>
      <c r="C13" s="37" t="s">
        <v>3</v>
      </c>
      <c r="D13" s="37" t="s">
        <v>501</v>
      </c>
      <c r="E13" s="37" t="s">
        <v>3</v>
      </c>
      <c r="F13" s="4"/>
      <c r="G13" s="4"/>
      <c r="H13" s="4"/>
      <c r="I13" s="4"/>
      <c r="J13" s="4"/>
      <c r="K13" s="4">
        <v>127560</v>
      </c>
      <c r="L13" s="4">
        <v>120700</v>
      </c>
      <c r="M13" s="4">
        <v>105733.3333333333</v>
      </c>
      <c r="N13" s="4">
        <v>106825</v>
      </c>
      <c r="O13" s="4">
        <v>109591.6666666667</v>
      </c>
      <c r="P13" s="4">
        <v>106833.3333333333</v>
      </c>
      <c r="Q13" s="4">
        <v>105150</v>
      </c>
      <c r="R13" s="45">
        <f t="shared" si="0"/>
        <v>-1.5756630265210295E-2</v>
      </c>
    </row>
    <row r="14" spans="1:18" ht="15" customHeight="1">
      <c r="A14" s="108" t="s">
        <v>514</v>
      </c>
      <c r="B14" s="109" t="s">
        <v>258</v>
      </c>
      <c r="C14" s="37" t="s">
        <v>8</v>
      </c>
      <c r="D14" s="37" t="s">
        <v>501</v>
      </c>
      <c r="E14" s="37" t="s">
        <v>8</v>
      </c>
      <c r="F14" s="4">
        <v>531266.66666666663</v>
      </c>
      <c r="G14" s="4">
        <v>550325</v>
      </c>
      <c r="H14" s="4">
        <v>544300</v>
      </c>
      <c r="I14" s="4">
        <v>511825</v>
      </c>
      <c r="J14" s="4">
        <v>463491.66666666669</v>
      </c>
      <c r="K14" s="4">
        <v>434541.66666666669</v>
      </c>
      <c r="L14" s="4">
        <v>423633.33333333331</v>
      </c>
      <c r="M14" s="4">
        <v>409233.33333333331</v>
      </c>
      <c r="N14" s="4">
        <v>432483.33333333331</v>
      </c>
      <c r="O14" s="4">
        <v>455283.33333333331</v>
      </c>
      <c r="P14" s="4">
        <v>466250</v>
      </c>
      <c r="Q14" s="4">
        <v>458716.66666666669</v>
      </c>
      <c r="R14" s="45">
        <f t="shared" si="0"/>
        <v>-1.6157283288650539E-2</v>
      </c>
    </row>
    <row r="15" spans="1:18" ht="15" customHeight="1">
      <c r="A15" s="108" t="s">
        <v>515</v>
      </c>
      <c r="B15" s="109" t="s">
        <v>258</v>
      </c>
      <c r="C15" s="37" t="s">
        <v>1</v>
      </c>
      <c r="D15" s="37" t="s">
        <v>501</v>
      </c>
      <c r="E15" s="37" t="s">
        <v>5</v>
      </c>
      <c r="F15" s="4">
        <v>138508.33333333331</v>
      </c>
      <c r="G15" s="4">
        <v>152983.33333333331</v>
      </c>
      <c r="H15" s="4">
        <v>155600</v>
      </c>
      <c r="I15" s="4">
        <v>145791.66666666669</v>
      </c>
      <c r="J15" s="4">
        <v>132208.33333333331</v>
      </c>
      <c r="K15" s="4">
        <v>125633.3333333333</v>
      </c>
      <c r="L15" s="4">
        <v>114766.6666666667</v>
      </c>
      <c r="M15" s="4">
        <v>109125</v>
      </c>
      <c r="N15" s="4">
        <v>106916.6666666667</v>
      </c>
      <c r="O15" s="4">
        <v>106025</v>
      </c>
      <c r="P15" s="4">
        <v>102241.6666666667</v>
      </c>
      <c r="Q15" s="4">
        <v>101925</v>
      </c>
      <c r="R15" s="45">
        <f t="shared" si="0"/>
        <v>-3.0972369386261358E-3</v>
      </c>
    </row>
    <row r="16" spans="1:18" ht="15" customHeight="1">
      <c r="A16" s="108" t="s">
        <v>516</v>
      </c>
      <c r="B16" s="109" t="s">
        <v>258</v>
      </c>
      <c r="C16" s="37" t="s">
        <v>58</v>
      </c>
      <c r="D16" s="37" t="s">
        <v>501</v>
      </c>
      <c r="E16" s="37" t="s">
        <v>8</v>
      </c>
      <c r="F16" s="4">
        <v>444925</v>
      </c>
      <c r="G16" s="4">
        <v>466108.33333333331</v>
      </c>
      <c r="H16" s="4">
        <v>459650</v>
      </c>
      <c r="I16" s="4">
        <v>422533.33333333331</v>
      </c>
      <c r="J16" s="4">
        <v>385266.66666666669</v>
      </c>
      <c r="K16" s="4">
        <v>369508.33333333331</v>
      </c>
      <c r="L16" s="4">
        <v>353508.33333333331</v>
      </c>
      <c r="M16" s="4">
        <v>342808.33333333331</v>
      </c>
      <c r="N16" s="4">
        <v>352533.33333333331</v>
      </c>
      <c r="O16" s="4">
        <v>364833.33333333331</v>
      </c>
      <c r="P16" s="4">
        <v>377191.66666666669</v>
      </c>
      <c r="Q16" s="4">
        <v>383591.66666666669</v>
      </c>
      <c r="R16" s="45">
        <f t="shared" si="0"/>
        <v>1.6967501049422264E-2</v>
      </c>
    </row>
    <row r="17" spans="1:18" ht="15" customHeight="1">
      <c r="A17" s="108" t="s">
        <v>517</v>
      </c>
      <c r="B17" s="109" t="s">
        <v>258</v>
      </c>
      <c r="C17" s="37" t="s">
        <v>37</v>
      </c>
      <c r="D17" s="37" t="s">
        <v>501</v>
      </c>
      <c r="E17" s="37" t="s">
        <v>8</v>
      </c>
      <c r="F17" s="4">
        <v>338216.66666666669</v>
      </c>
      <c r="G17" s="4">
        <v>349425</v>
      </c>
      <c r="H17" s="4">
        <v>333950</v>
      </c>
      <c r="I17" s="4">
        <v>308941.66666666669</v>
      </c>
      <c r="J17" s="4">
        <v>281566.66666666669</v>
      </c>
      <c r="K17" s="4">
        <v>267741.66666666669</v>
      </c>
      <c r="L17" s="4">
        <v>249083.33333333331</v>
      </c>
      <c r="M17" s="4">
        <v>234550</v>
      </c>
      <c r="N17" s="4">
        <v>239783.33333333331</v>
      </c>
      <c r="O17" s="4">
        <v>247208.33333333331</v>
      </c>
      <c r="P17" s="4">
        <v>250808.33333333331</v>
      </c>
      <c r="Q17" s="4">
        <v>250566.66666666669</v>
      </c>
      <c r="R17" s="45">
        <f t="shared" si="0"/>
        <v>-9.6355118450328428E-4</v>
      </c>
    </row>
    <row r="18" spans="1:18" ht="15" customHeight="1">
      <c r="A18" s="108" t="s">
        <v>518</v>
      </c>
      <c r="B18" s="109" t="s">
        <v>258</v>
      </c>
      <c r="C18" s="37" t="s">
        <v>40</v>
      </c>
      <c r="D18" s="37" t="s">
        <v>501</v>
      </c>
      <c r="E18" s="37" t="s">
        <v>3</v>
      </c>
      <c r="F18" s="4">
        <v>151000</v>
      </c>
      <c r="G18" s="4">
        <v>165191.66666666669</v>
      </c>
      <c r="H18" s="4">
        <v>169791.66666666669</v>
      </c>
      <c r="I18" s="4">
        <v>159058.33333333331</v>
      </c>
      <c r="J18" s="4">
        <v>148858.33333333331</v>
      </c>
      <c r="K18" s="4">
        <v>148975</v>
      </c>
      <c r="L18" s="4">
        <v>137141.66666666669</v>
      </c>
      <c r="M18" s="4">
        <v>129608.3333333333</v>
      </c>
      <c r="N18" s="4">
        <v>130683.3333333333</v>
      </c>
      <c r="O18" s="4">
        <v>131991.66666666669</v>
      </c>
      <c r="P18" s="4">
        <v>133425</v>
      </c>
      <c r="Q18" s="4">
        <v>136133.33333333331</v>
      </c>
      <c r="R18" s="45">
        <f t="shared" si="0"/>
        <v>2.0298544750483895E-2</v>
      </c>
    </row>
    <row r="19" spans="1:18" ht="15" customHeight="1">
      <c r="A19" s="108" t="s">
        <v>519</v>
      </c>
      <c r="B19" s="109" t="s">
        <v>258</v>
      </c>
      <c r="C19" s="37" t="s">
        <v>30</v>
      </c>
      <c r="D19" s="37" t="s">
        <v>501</v>
      </c>
      <c r="E19" s="37" t="s">
        <v>3</v>
      </c>
      <c r="F19" s="4">
        <v>288008.33333333331</v>
      </c>
      <c r="G19" s="4">
        <v>300350</v>
      </c>
      <c r="H19" s="4">
        <v>300466.66666666669</v>
      </c>
      <c r="I19" s="4">
        <v>288450</v>
      </c>
      <c r="J19" s="4">
        <v>282516.66666666669</v>
      </c>
      <c r="K19" s="4">
        <v>284866.66666666669</v>
      </c>
      <c r="L19" s="4">
        <v>275308.33333333331</v>
      </c>
      <c r="M19" s="4">
        <v>279575</v>
      </c>
      <c r="N19" s="4">
        <v>285408.33333333331</v>
      </c>
      <c r="O19" s="4">
        <v>288100</v>
      </c>
      <c r="P19" s="4">
        <v>290683.33333333331</v>
      </c>
      <c r="Q19" s="4">
        <v>292633.33333333331</v>
      </c>
      <c r="R19" s="45">
        <f t="shared" si="0"/>
        <v>6.7083309443265876E-3</v>
      </c>
    </row>
    <row r="20" spans="1:18" ht="15" customHeight="1">
      <c r="A20" s="108" t="s">
        <v>520</v>
      </c>
      <c r="B20" s="109" t="s">
        <v>258</v>
      </c>
      <c r="C20" s="37" t="s">
        <v>0</v>
      </c>
      <c r="D20" s="37" t="s">
        <v>501</v>
      </c>
      <c r="E20" s="37" t="s">
        <v>5</v>
      </c>
      <c r="F20" s="4">
        <v>246483.33333333331</v>
      </c>
      <c r="G20" s="4">
        <v>258658.33333333331</v>
      </c>
      <c r="H20" s="4">
        <v>254233.33333333331</v>
      </c>
      <c r="I20" s="4">
        <v>240183.33333333331</v>
      </c>
      <c r="J20" s="4">
        <v>220366.66666666669</v>
      </c>
      <c r="K20" s="4">
        <v>216675</v>
      </c>
      <c r="L20" s="4">
        <v>207650</v>
      </c>
      <c r="M20" s="4">
        <v>198466.66666666669</v>
      </c>
      <c r="N20" s="4">
        <v>199066.66666666669</v>
      </c>
      <c r="O20" s="4">
        <v>199183.33333333331</v>
      </c>
      <c r="P20" s="4">
        <v>199300</v>
      </c>
      <c r="Q20" s="4">
        <v>196850</v>
      </c>
      <c r="R20" s="45">
        <f t="shared" si="0"/>
        <v>-1.2293025589563472E-2</v>
      </c>
    </row>
    <row r="21" spans="1:18" ht="15" customHeight="1">
      <c r="A21" s="108" t="s">
        <v>521</v>
      </c>
      <c r="B21" s="109" t="s">
        <v>258</v>
      </c>
      <c r="C21" s="37" t="s">
        <v>130</v>
      </c>
      <c r="D21" s="37" t="s">
        <v>501</v>
      </c>
      <c r="E21" s="37" t="s">
        <v>3</v>
      </c>
      <c r="F21" s="4">
        <v>197316.66666666669</v>
      </c>
      <c r="G21" s="4">
        <v>212441.66666666669</v>
      </c>
      <c r="H21" s="4">
        <v>217375</v>
      </c>
      <c r="I21" s="4">
        <v>205958.33333333331</v>
      </c>
      <c r="J21" s="4">
        <v>195300</v>
      </c>
      <c r="K21" s="4">
        <v>191766.66666666669</v>
      </c>
      <c r="L21" s="4">
        <v>178241.66666666669</v>
      </c>
      <c r="M21" s="4">
        <v>174325</v>
      </c>
      <c r="N21" s="4">
        <v>174683.33333333331</v>
      </c>
      <c r="O21" s="4">
        <v>172541.66666666669</v>
      </c>
      <c r="P21" s="4">
        <v>172441.66666666669</v>
      </c>
      <c r="Q21" s="4">
        <v>173400</v>
      </c>
      <c r="R21" s="45">
        <f t="shared" si="0"/>
        <v>5.5574348813607335E-3</v>
      </c>
    </row>
    <row r="22" spans="1:18" ht="15" customHeight="1">
      <c r="A22" s="108" t="s">
        <v>522</v>
      </c>
      <c r="B22" s="109" t="s">
        <v>258</v>
      </c>
      <c r="C22" s="37" t="s">
        <v>15</v>
      </c>
      <c r="D22" s="37" t="s">
        <v>501</v>
      </c>
      <c r="E22" s="37" t="s">
        <v>5</v>
      </c>
      <c r="F22" s="4">
        <v>182183.33333333331</v>
      </c>
      <c r="G22" s="4">
        <v>194708.33333333331</v>
      </c>
      <c r="H22" s="4">
        <v>198408.33333333331</v>
      </c>
      <c r="I22" s="4">
        <v>186858.33333333331</v>
      </c>
      <c r="J22" s="4">
        <v>172533.33333333331</v>
      </c>
      <c r="K22" s="4">
        <v>169633.33333333331</v>
      </c>
      <c r="L22" s="4">
        <v>156775</v>
      </c>
      <c r="M22" s="4">
        <v>149675</v>
      </c>
      <c r="N22" s="4">
        <v>152908.33333333331</v>
      </c>
      <c r="O22" s="4">
        <v>153325</v>
      </c>
      <c r="P22" s="4">
        <v>148100</v>
      </c>
      <c r="Q22" s="4">
        <v>148208.33333333331</v>
      </c>
      <c r="R22" s="45">
        <f t="shared" si="0"/>
        <v>7.3148773351326083E-4</v>
      </c>
    </row>
    <row r="23" spans="1:18" ht="15" customHeight="1">
      <c r="A23" s="108" t="s">
        <v>523</v>
      </c>
      <c r="B23" s="109" t="s">
        <v>258</v>
      </c>
      <c r="C23" s="37" t="s">
        <v>91</v>
      </c>
      <c r="D23" s="37" t="s">
        <v>501</v>
      </c>
      <c r="E23" s="37" t="s">
        <v>8</v>
      </c>
      <c r="F23" s="4">
        <v>1302850</v>
      </c>
      <c r="G23" s="4">
        <v>1377208.333333333</v>
      </c>
      <c r="H23" s="4">
        <v>1379858.333333333</v>
      </c>
      <c r="I23" s="4">
        <v>1299258.333333333</v>
      </c>
      <c r="J23" s="4">
        <v>1201833.333333333</v>
      </c>
      <c r="K23" s="4">
        <v>1100591.666666667</v>
      </c>
      <c r="L23" s="4">
        <v>1110900</v>
      </c>
      <c r="M23" s="4">
        <v>1107975</v>
      </c>
      <c r="N23" s="4">
        <v>1172491.666666667</v>
      </c>
      <c r="O23" s="4">
        <v>1274191.666666667</v>
      </c>
      <c r="P23" s="4">
        <v>1337983.333333333</v>
      </c>
      <c r="Q23" s="4">
        <v>1364075</v>
      </c>
      <c r="R23" s="45">
        <f t="shared" si="0"/>
        <v>1.9500741165186648E-2</v>
      </c>
    </row>
    <row r="24" spans="1:18" ht="15" customHeight="1">
      <c r="A24" s="108" t="s">
        <v>524</v>
      </c>
      <c r="B24" s="109" t="s">
        <v>258</v>
      </c>
      <c r="C24" s="37" t="s">
        <v>60</v>
      </c>
      <c r="D24" s="37" t="s">
        <v>501</v>
      </c>
      <c r="E24" s="37" t="s">
        <v>3</v>
      </c>
      <c r="F24" s="4">
        <v>192408.33333333331</v>
      </c>
      <c r="G24" s="4">
        <v>205216.66666666669</v>
      </c>
      <c r="H24" s="4">
        <v>206383.33333333331</v>
      </c>
      <c r="I24" s="4">
        <v>196850</v>
      </c>
      <c r="J24" s="4">
        <v>182716.66666666669</v>
      </c>
      <c r="K24" s="4">
        <v>184625</v>
      </c>
      <c r="L24" s="4">
        <v>172100</v>
      </c>
      <c r="M24" s="4">
        <v>164033.33333333331</v>
      </c>
      <c r="N24" s="4">
        <v>164166.66666666669</v>
      </c>
      <c r="O24" s="4">
        <v>165100</v>
      </c>
      <c r="P24" s="4">
        <v>161341.66666666669</v>
      </c>
      <c r="Q24" s="4">
        <v>164841.66666666669</v>
      </c>
      <c r="R24" s="45">
        <f t="shared" si="0"/>
        <v>2.1693094364960485E-2</v>
      </c>
    </row>
    <row r="25" spans="1:18" ht="15" customHeight="1">
      <c r="A25" s="108" t="s">
        <v>525</v>
      </c>
      <c r="B25" s="109" t="s">
        <v>258</v>
      </c>
      <c r="C25" s="37" t="s">
        <v>21</v>
      </c>
      <c r="D25" s="37" t="s">
        <v>501</v>
      </c>
      <c r="E25" s="37" t="s">
        <v>8</v>
      </c>
      <c r="F25" s="4">
        <v>564991.66666666663</v>
      </c>
      <c r="G25" s="4">
        <v>584233.33333333337</v>
      </c>
      <c r="H25" s="4">
        <v>573175</v>
      </c>
      <c r="I25" s="4">
        <v>541650</v>
      </c>
      <c r="J25" s="4">
        <v>499550</v>
      </c>
      <c r="K25" s="4">
        <v>493375</v>
      </c>
      <c r="L25" s="4">
        <v>475808.33333333331</v>
      </c>
      <c r="M25" s="4">
        <v>474483.33333333331</v>
      </c>
      <c r="N25" s="4">
        <v>499708.33333333331</v>
      </c>
      <c r="O25" s="4">
        <v>507908.33333333331</v>
      </c>
      <c r="P25" s="4">
        <v>518758.33333333331</v>
      </c>
      <c r="Q25" s="4">
        <v>520483.33333333331</v>
      </c>
      <c r="R25" s="45">
        <f t="shared" si="0"/>
        <v>3.3252477871841416E-3</v>
      </c>
    </row>
    <row r="26" spans="1:18" ht="15" customHeight="1">
      <c r="A26" s="108" t="s">
        <v>526</v>
      </c>
      <c r="B26" s="109" t="s">
        <v>258</v>
      </c>
      <c r="C26" s="37" t="s">
        <v>6</v>
      </c>
      <c r="D26" s="37" t="s">
        <v>501</v>
      </c>
      <c r="E26" s="37" t="s">
        <v>5</v>
      </c>
      <c r="F26" s="4">
        <v>217483.33333333331</v>
      </c>
      <c r="G26" s="4">
        <v>229658.33333333331</v>
      </c>
      <c r="H26" s="4">
        <v>225058.33333333331</v>
      </c>
      <c r="I26" s="4">
        <v>206850</v>
      </c>
      <c r="J26" s="4">
        <v>188075</v>
      </c>
      <c r="K26" s="4">
        <v>181091.66666666669</v>
      </c>
      <c r="L26" s="4">
        <v>169833.33333333331</v>
      </c>
      <c r="M26" s="4">
        <v>160516.66666666669</v>
      </c>
      <c r="N26" s="4">
        <v>162216.66666666669</v>
      </c>
      <c r="O26" s="4">
        <v>160108.33333333331</v>
      </c>
      <c r="P26" s="4">
        <v>163466.66666666669</v>
      </c>
      <c r="Q26" s="4">
        <v>168208.33333333331</v>
      </c>
      <c r="R26" s="45">
        <f t="shared" si="0"/>
        <v>2.9006933115823575E-2</v>
      </c>
    </row>
    <row r="27" spans="1:18" ht="15" customHeight="1">
      <c r="A27" s="108" t="s">
        <v>527</v>
      </c>
      <c r="B27" s="109" t="s">
        <v>258</v>
      </c>
      <c r="C27" s="37" t="s">
        <v>2</v>
      </c>
      <c r="D27" s="37" t="s">
        <v>501</v>
      </c>
      <c r="E27" s="37" t="s">
        <v>8</v>
      </c>
      <c r="F27" s="4">
        <v>302033.33333333331</v>
      </c>
      <c r="G27" s="4">
        <v>308700</v>
      </c>
      <c r="H27" s="4">
        <v>292950</v>
      </c>
      <c r="I27" s="4">
        <v>269966.66666666669</v>
      </c>
      <c r="J27" s="4">
        <v>246541.66666666669</v>
      </c>
      <c r="K27" s="4">
        <v>240141.66666666669</v>
      </c>
      <c r="L27" s="4">
        <v>225758.33333333331</v>
      </c>
      <c r="M27" s="4">
        <v>212300</v>
      </c>
      <c r="N27" s="4">
        <v>221800</v>
      </c>
      <c r="O27" s="4">
        <v>226991.66666666669</v>
      </c>
      <c r="P27" s="4">
        <v>230158.33333333331</v>
      </c>
      <c r="Q27" s="4">
        <v>229058.33333333331</v>
      </c>
      <c r="R27" s="45">
        <f t="shared" si="0"/>
        <v>-4.7793185850320439E-3</v>
      </c>
    </row>
    <row r="28" spans="1:18" ht="15" customHeight="1">
      <c r="A28" s="108" t="s">
        <v>528</v>
      </c>
      <c r="B28" s="109" t="s">
        <v>258</v>
      </c>
      <c r="C28" s="37" t="s">
        <v>18</v>
      </c>
      <c r="D28" s="37" t="s">
        <v>501</v>
      </c>
      <c r="E28" s="37" t="s">
        <v>5</v>
      </c>
      <c r="F28" s="4">
        <v>318608.33333333331</v>
      </c>
      <c r="G28" s="4">
        <v>334441.66666666669</v>
      </c>
      <c r="H28" s="4">
        <v>325850</v>
      </c>
      <c r="I28" s="4">
        <v>310491.66666666669</v>
      </c>
      <c r="J28" s="4">
        <v>283858.33333333331</v>
      </c>
      <c r="K28" s="4">
        <v>273833.33333333331</v>
      </c>
      <c r="L28" s="4">
        <v>262700</v>
      </c>
      <c r="M28" s="4">
        <v>255025</v>
      </c>
      <c r="N28" s="4">
        <v>262333.33333333331</v>
      </c>
      <c r="O28" s="4">
        <v>263600</v>
      </c>
      <c r="P28" s="4">
        <v>267150</v>
      </c>
      <c r="Q28" s="4">
        <v>270350</v>
      </c>
      <c r="R28" s="45">
        <f t="shared" si="0"/>
        <v>1.1978289350552125E-2</v>
      </c>
    </row>
    <row r="29" spans="1:18" ht="15" customHeight="1">
      <c r="A29" s="108" t="s">
        <v>529</v>
      </c>
      <c r="B29" s="109" t="s">
        <v>258</v>
      </c>
      <c r="C29" s="37" t="s">
        <v>110</v>
      </c>
      <c r="D29" s="37" t="s">
        <v>501</v>
      </c>
      <c r="E29" s="37" t="s">
        <v>3</v>
      </c>
      <c r="F29" s="4">
        <v>220266.66666666669</v>
      </c>
      <c r="G29" s="4">
        <v>232666.66666666669</v>
      </c>
      <c r="H29" s="4">
        <v>231400</v>
      </c>
      <c r="I29" s="4">
        <v>226125</v>
      </c>
      <c r="J29" s="4">
        <v>214125</v>
      </c>
      <c r="K29" s="4">
        <v>218158.33333333331</v>
      </c>
      <c r="L29" s="4">
        <v>210100</v>
      </c>
      <c r="M29" s="4">
        <v>200933.33333333331</v>
      </c>
      <c r="N29" s="4">
        <v>204258.33333333331</v>
      </c>
      <c r="O29" s="4">
        <v>207016.66666666669</v>
      </c>
      <c r="P29" s="4">
        <v>203750</v>
      </c>
      <c r="Q29" s="4">
        <v>206716.66666666669</v>
      </c>
      <c r="R29" s="45">
        <f t="shared" si="0"/>
        <v>1.4560327198364103E-2</v>
      </c>
    </row>
    <row r="30" spans="1:18" ht="15" customHeight="1">
      <c r="A30" s="108" t="s">
        <v>530</v>
      </c>
      <c r="B30" s="109" t="s">
        <v>258</v>
      </c>
      <c r="C30" s="37" t="s">
        <v>34</v>
      </c>
      <c r="D30" s="37" t="s">
        <v>501</v>
      </c>
      <c r="E30" s="37" t="s">
        <v>3</v>
      </c>
      <c r="F30" s="4">
        <v>176775</v>
      </c>
      <c r="G30" s="4">
        <v>190433.33333333331</v>
      </c>
      <c r="H30" s="4">
        <v>193341.66666666669</v>
      </c>
      <c r="I30" s="4">
        <v>183400</v>
      </c>
      <c r="J30" s="4">
        <v>169633.33333333331</v>
      </c>
      <c r="K30" s="4">
        <v>166725</v>
      </c>
      <c r="L30" s="4">
        <v>153116.66666666669</v>
      </c>
      <c r="M30" s="4">
        <v>144075</v>
      </c>
      <c r="N30" s="4">
        <v>142283.33333333331</v>
      </c>
      <c r="O30" s="4">
        <v>145325</v>
      </c>
      <c r="P30" s="4">
        <v>145941.66666666669</v>
      </c>
      <c r="Q30" s="4">
        <v>147750</v>
      </c>
      <c r="R30" s="45">
        <f t="shared" si="0"/>
        <v>1.2390795409124515E-2</v>
      </c>
    </row>
    <row r="31" spans="1:18" ht="15" customHeight="1">
      <c r="A31" s="108" t="s">
        <v>531</v>
      </c>
      <c r="B31" s="109" t="s">
        <v>258</v>
      </c>
      <c r="C31" s="37" t="s">
        <v>134</v>
      </c>
      <c r="D31" s="37" t="s">
        <v>501</v>
      </c>
      <c r="E31" s="37" t="s">
        <v>5</v>
      </c>
      <c r="F31" s="4">
        <v>262483.33333333331</v>
      </c>
      <c r="G31" s="4">
        <v>277358.33333333331</v>
      </c>
      <c r="H31" s="4">
        <v>269116.66666666669</v>
      </c>
      <c r="I31" s="4">
        <v>262133.33333333331</v>
      </c>
      <c r="J31" s="4">
        <v>247291.66666666669</v>
      </c>
      <c r="K31" s="4">
        <v>245191.66666666669</v>
      </c>
      <c r="L31" s="4">
        <v>230400</v>
      </c>
      <c r="M31" s="4">
        <v>223800</v>
      </c>
      <c r="N31" s="4">
        <v>228975</v>
      </c>
      <c r="O31" s="4">
        <v>231491.66666666669</v>
      </c>
      <c r="P31" s="4">
        <v>235150</v>
      </c>
      <c r="Q31" s="4">
        <v>237366.66666666669</v>
      </c>
      <c r="R31" s="45">
        <f t="shared" si="0"/>
        <v>9.4266071302006645E-3</v>
      </c>
    </row>
    <row r="32" spans="1:18" ht="15" customHeight="1">
      <c r="A32" s="108" t="s">
        <v>532</v>
      </c>
      <c r="B32" s="109" t="s">
        <v>258</v>
      </c>
      <c r="C32" s="37" t="s">
        <v>143</v>
      </c>
      <c r="D32" s="37" t="s">
        <v>501</v>
      </c>
      <c r="E32" s="37" t="s">
        <v>3</v>
      </c>
      <c r="F32" s="4">
        <v>190983.33333333331</v>
      </c>
      <c r="G32" s="4">
        <v>210858.33333333331</v>
      </c>
      <c r="H32" s="4">
        <v>211158.33333333331</v>
      </c>
      <c r="I32" s="4">
        <v>197425</v>
      </c>
      <c r="J32" s="4">
        <v>186241.66666666669</v>
      </c>
      <c r="K32" s="4">
        <v>186808.33333333331</v>
      </c>
      <c r="L32" s="4">
        <v>174708.33333333331</v>
      </c>
      <c r="M32" s="4">
        <v>168400</v>
      </c>
      <c r="N32" s="4">
        <v>168433.33333333331</v>
      </c>
      <c r="O32" s="4">
        <v>166958.33333333331</v>
      </c>
      <c r="P32" s="4">
        <v>167108.33333333331</v>
      </c>
      <c r="Q32" s="4">
        <v>170558.33333333331</v>
      </c>
      <c r="R32" s="45">
        <f t="shared" si="0"/>
        <v>2.0645289981548898E-2</v>
      </c>
    </row>
    <row r="33" spans="1:18" ht="15" customHeight="1">
      <c r="A33" s="108" t="s">
        <v>533</v>
      </c>
      <c r="B33" s="109" t="s">
        <v>258</v>
      </c>
      <c r="C33" s="37" t="s">
        <v>78</v>
      </c>
      <c r="D33" s="37" t="s">
        <v>501</v>
      </c>
      <c r="E33" s="37" t="s">
        <v>13</v>
      </c>
      <c r="F33" s="4">
        <v>191941.66666666669</v>
      </c>
      <c r="G33" s="4">
        <v>205400</v>
      </c>
      <c r="H33" s="4">
        <v>205383.33333333331</v>
      </c>
      <c r="I33" s="4">
        <v>189866.66666666669</v>
      </c>
      <c r="J33" s="4">
        <v>177166.66666666669</v>
      </c>
      <c r="K33" s="4">
        <v>179258.33333333331</v>
      </c>
      <c r="L33" s="4">
        <v>168416.66666666669</v>
      </c>
      <c r="M33" s="4">
        <v>159225</v>
      </c>
      <c r="N33" s="4">
        <v>155041.66666666669</v>
      </c>
      <c r="O33" s="4">
        <v>152583.33333333331</v>
      </c>
      <c r="P33" s="4">
        <v>153625</v>
      </c>
      <c r="Q33" s="4">
        <v>155558.33333333331</v>
      </c>
      <c r="R33" s="45">
        <f t="shared" si="0"/>
        <v>1.2584757255220921E-2</v>
      </c>
    </row>
    <row r="34" spans="1:18" ht="15" customHeight="1">
      <c r="A34" s="108" t="s">
        <v>534</v>
      </c>
      <c r="B34" s="109" t="s">
        <v>258</v>
      </c>
      <c r="C34" s="37" t="s">
        <v>44</v>
      </c>
      <c r="D34" s="37" t="s">
        <v>501</v>
      </c>
      <c r="E34" s="37" t="s">
        <v>8</v>
      </c>
      <c r="F34" s="4">
        <v>375150</v>
      </c>
      <c r="G34" s="4">
        <v>385741.66666666669</v>
      </c>
      <c r="H34" s="4">
        <v>376258.33333333331</v>
      </c>
      <c r="I34" s="4">
        <v>349541.66666666669</v>
      </c>
      <c r="J34" s="4">
        <v>318966.66666666669</v>
      </c>
      <c r="K34" s="4">
        <v>309300</v>
      </c>
      <c r="L34" s="4">
        <v>300475</v>
      </c>
      <c r="M34" s="4">
        <v>296666.66666666669</v>
      </c>
      <c r="N34" s="4">
        <v>298091.66666666669</v>
      </c>
      <c r="O34" s="4">
        <v>301508.33333333331</v>
      </c>
      <c r="P34" s="4">
        <v>312291.66666666669</v>
      </c>
      <c r="Q34" s="4">
        <v>311341.66666666669</v>
      </c>
      <c r="R34" s="45">
        <f t="shared" si="0"/>
        <v>-3.042028018679119E-3</v>
      </c>
    </row>
    <row r="35" spans="1:18" ht="15" customHeight="1">
      <c r="A35" s="108" t="s">
        <v>535</v>
      </c>
      <c r="B35" s="109" t="s">
        <v>258</v>
      </c>
      <c r="C35" s="37" t="s">
        <v>32</v>
      </c>
      <c r="D35" s="37" t="s">
        <v>501</v>
      </c>
      <c r="E35" s="37" t="s">
        <v>32</v>
      </c>
      <c r="F35" s="4">
        <v>182133.33333333331</v>
      </c>
      <c r="G35" s="4">
        <v>189408.33333333331</v>
      </c>
      <c r="H35" s="4">
        <v>188066.66666666669</v>
      </c>
      <c r="I35" s="4">
        <v>180150</v>
      </c>
      <c r="J35" s="4">
        <v>167150</v>
      </c>
      <c r="K35" s="4">
        <v>167166.66666666669</v>
      </c>
      <c r="L35" s="4">
        <v>160175</v>
      </c>
      <c r="M35" s="4">
        <v>151050</v>
      </c>
      <c r="N35" s="4">
        <v>149625</v>
      </c>
      <c r="O35" s="4">
        <v>146408.33333333331</v>
      </c>
      <c r="P35" s="4">
        <v>144133.33333333331</v>
      </c>
      <c r="Q35" s="4">
        <v>143366.66666666669</v>
      </c>
      <c r="R35" s="45">
        <f t="shared" ref="R35:R66" si="1">(Q35-P35)/P35</f>
        <v>-5.3191489361699446E-3</v>
      </c>
    </row>
    <row r="36" spans="1:18" ht="15" customHeight="1">
      <c r="A36" s="108" t="s">
        <v>536</v>
      </c>
      <c r="B36" s="109" t="s">
        <v>258</v>
      </c>
      <c r="C36" s="37" t="s">
        <v>26</v>
      </c>
      <c r="D36" s="37" t="s">
        <v>501</v>
      </c>
      <c r="E36" s="37" t="s">
        <v>8</v>
      </c>
      <c r="F36" s="4">
        <v>442741.66666666669</v>
      </c>
      <c r="G36" s="4">
        <v>461533.33333333331</v>
      </c>
      <c r="H36" s="4">
        <v>447500</v>
      </c>
      <c r="I36" s="4">
        <v>414700</v>
      </c>
      <c r="J36" s="4">
        <v>369125</v>
      </c>
      <c r="K36" s="4">
        <v>360183.33333333331</v>
      </c>
      <c r="L36" s="4">
        <v>353383.33333333331</v>
      </c>
      <c r="M36" s="4">
        <v>341100</v>
      </c>
      <c r="N36" s="4">
        <v>345525</v>
      </c>
      <c r="O36" s="4">
        <v>351491.66666666669</v>
      </c>
      <c r="P36" s="4">
        <v>357516.66666666669</v>
      </c>
      <c r="Q36" s="4">
        <v>354900</v>
      </c>
      <c r="R36" s="45">
        <f t="shared" si="1"/>
        <v>-7.3190061069414551E-3</v>
      </c>
    </row>
    <row r="37" spans="1:18" ht="15" customHeight="1">
      <c r="A37" s="108" t="s">
        <v>537</v>
      </c>
      <c r="B37" s="109" t="s">
        <v>258</v>
      </c>
      <c r="C37" s="37" t="s">
        <v>104</v>
      </c>
      <c r="D37" s="37" t="s">
        <v>501</v>
      </c>
      <c r="E37" s="37" t="s">
        <v>3</v>
      </c>
      <c r="F37" s="4">
        <v>330091.66666666669</v>
      </c>
      <c r="G37" s="4">
        <v>343950</v>
      </c>
      <c r="H37" s="4">
        <v>341383.33333333331</v>
      </c>
      <c r="I37" s="4">
        <v>331333.33333333331</v>
      </c>
      <c r="J37" s="4">
        <v>316508.33333333331</v>
      </c>
      <c r="K37" s="4">
        <v>314025</v>
      </c>
      <c r="L37" s="4">
        <v>306191.66666666669</v>
      </c>
      <c r="M37" s="4">
        <v>305766.66666666669</v>
      </c>
      <c r="N37" s="4">
        <v>309800</v>
      </c>
      <c r="O37" s="4">
        <v>313200</v>
      </c>
      <c r="P37" s="4">
        <v>314016.66666666669</v>
      </c>
      <c r="Q37" s="4">
        <v>313183.33333333331</v>
      </c>
      <c r="R37" s="45">
        <f t="shared" si="1"/>
        <v>-2.6537869539834578E-3</v>
      </c>
    </row>
    <row r="38" spans="1:18" ht="15" customHeight="1">
      <c r="A38" s="108" t="s">
        <v>538</v>
      </c>
      <c r="B38" s="109" t="s">
        <v>258</v>
      </c>
      <c r="C38" s="37" t="s">
        <v>141</v>
      </c>
      <c r="D38" s="37" t="s">
        <v>501</v>
      </c>
      <c r="E38" s="37" t="s">
        <v>3</v>
      </c>
      <c r="F38" s="4">
        <v>224675</v>
      </c>
      <c r="G38" s="4">
        <v>237358.33333333331</v>
      </c>
      <c r="H38" s="4">
        <v>239066.66666666669</v>
      </c>
      <c r="I38" s="4">
        <v>227850</v>
      </c>
      <c r="J38" s="4">
        <v>216058.33333333331</v>
      </c>
      <c r="K38" s="4">
        <v>218066.66666666669</v>
      </c>
      <c r="L38" s="4">
        <v>206758.33333333331</v>
      </c>
      <c r="M38" s="4">
        <v>205266.66666666669</v>
      </c>
      <c r="N38" s="4">
        <v>207633.33333333331</v>
      </c>
      <c r="O38" s="4">
        <v>206450</v>
      </c>
      <c r="P38" s="4">
        <v>203808.33333333331</v>
      </c>
      <c r="Q38" s="4">
        <v>207441.66666666669</v>
      </c>
      <c r="R38" s="45">
        <f t="shared" si="1"/>
        <v>1.7827206934620136E-2</v>
      </c>
    </row>
    <row r="39" spans="1:18" ht="15" customHeight="1">
      <c r="A39" s="108" t="s">
        <v>539</v>
      </c>
      <c r="B39" s="109" t="s">
        <v>258</v>
      </c>
      <c r="C39" s="37" t="s">
        <v>10</v>
      </c>
      <c r="D39" s="37" t="s">
        <v>501</v>
      </c>
      <c r="E39" s="37" t="s">
        <v>5</v>
      </c>
      <c r="F39" s="4">
        <v>220725</v>
      </c>
      <c r="G39" s="4">
        <v>234100</v>
      </c>
      <c r="H39" s="4">
        <v>228950</v>
      </c>
      <c r="I39" s="4">
        <v>216291.66666666669</v>
      </c>
      <c r="J39" s="4">
        <v>196716.66666666669</v>
      </c>
      <c r="K39" s="4">
        <v>186266.66666666669</v>
      </c>
      <c r="L39" s="4">
        <v>175766.66666666669</v>
      </c>
      <c r="M39" s="4">
        <v>167058.33333333331</v>
      </c>
      <c r="N39" s="4">
        <v>168716.66666666669</v>
      </c>
      <c r="O39" s="4">
        <v>165158.33333333331</v>
      </c>
      <c r="P39" s="4">
        <v>164425</v>
      </c>
      <c r="Q39" s="4">
        <v>168966.66666666669</v>
      </c>
      <c r="R39" s="45">
        <f t="shared" si="1"/>
        <v>2.7621509300086278E-2</v>
      </c>
    </row>
    <row r="40" spans="1:18" ht="15" customHeight="1">
      <c r="A40" s="108" t="s">
        <v>540</v>
      </c>
      <c r="B40" s="109" t="s">
        <v>258</v>
      </c>
      <c r="C40" s="37" t="s">
        <v>22</v>
      </c>
      <c r="D40" s="37" t="s">
        <v>501</v>
      </c>
      <c r="E40" s="37" t="s">
        <v>5</v>
      </c>
      <c r="F40" s="4">
        <v>330275</v>
      </c>
      <c r="G40" s="4">
        <v>337625</v>
      </c>
      <c r="H40" s="4">
        <v>332383.33333333331</v>
      </c>
      <c r="I40" s="4">
        <v>322583.33333333331</v>
      </c>
      <c r="J40" s="4">
        <v>308791.66666666669</v>
      </c>
      <c r="K40" s="4">
        <v>300500</v>
      </c>
      <c r="L40" s="4">
        <v>283816.66666666669</v>
      </c>
      <c r="M40" s="4">
        <v>276150</v>
      </c>
      <c r="N40" s="4">
        <v>279683.33333333331</v>
      </c>
      <c r="O40" s="4">
        <v>289825</v>
      </c>
      <c r="P40" s="4">
        <v>294791.66666666669</v>
      </c>
      <c r="Q40" s="4">
        <v>289191.66666666669</v>
      </c>
      <c r="R40" s="45">
        <f t="shared" si="1"/>
        <v>-1.8996466431095406E-2</v>
      </c>
    </row>
    <row r="41" spans="1:18" ht="15" customHeight="1">
      <c r="A41" s="108" t="s">
        <v>541</v>
      </c>
      <c r="B41" s="109" t="s">
        <v>258</v>
      </c>
      <c r="C41" s="37" t="s">
        <v>94</v>
      </c>
      <c r="D41" s="37" t="s">
        <v>501</v>
      </c>
      <c r="E41" s="37" t="s">
        <v>3</v>
      </c>
      <c r="F41" s="4">
        <v>273825</v>
      </c>
      <c r="G41" s="4">
        <v>287350</v>
      </c>
      <c r="H41" s="4">
        <v>289225</v>
      </c>
      <c r="I41" s="4">
        <v>279816.66666666669</v>
      </c>
      <c r="J41" s="4">
        <v>269233.33333333331</v>
      </c>
      <c r="K41" s="4">
        <v>257600</v>
      </c>
      <c r="L41" s="4">
        <v>244625</v>
      </c>
      <c r="M41" s="4">
        <v>240150</v>
      </c>
      <c r="N41" s="4">
        <v>246925</v>
      </c>
      <c r="O41" s="4">
        <v>248641.66666666669</v>
      </c>
      <c r="P41" s="4">
        <v>250166.66666666669</v>
      </c>
      <c r="Q41" s="4">
        <v>252866.66666666669</v>
      </c>
      <c r="R41" s="45">
        <f t="shared" si="1"/>
        <v>1.0792804796802131E-2</v>
      </c>
    </row>
    <row r="42" spans="1:18" ht="15" customHeight="1">
      <c r="A42" s="108" t="s">
        <v>542</v>
      </c>
      <c r="B42" s="109" t="s">
        <v>258</v>
      </c>
      <c r="C42" s="37" t="s">
        <v>14</v>
      </c>
      <c r="D42" s="37" t="s">
        <v>501</v>
      </c>
      <c r="E42" s="37" t="s">
        <v>5</v>
      </c>
      <c r="F42" s="4">
        <v>221650</v>
      </c>
      <c r="G42" s="4">
        <v>237166.66666666669</v>
      </c>
      <c r="H42" s="4">
        <v>231458.33333333331</v>
      </c>
      <c r="I42" s="4">
        <v>220550</v>
      </c>
      <c r="J42" s="4">
        <v>205991.66666666669</v>
      </c>
      <c r="K42" s="4">
        <v>197991.66666666669</v>
      </c>
      <c r="L42" s="4">
        <v>184933.33333333331</v>
      </c>
      <c r="M42" s="4">
        <v>173033.33333333331</v>
      </c>
      <c r="N42" s="4">
        <v>173966.66666666669</v>
      </c>
      <c r="O42" s="4">
        <v>173025</v>
      </c>
      <c r="P42" s="4">
        <v>176450</v>
      </c>
      <c r="Q42" s="4">
        <v>180791.66666666669</v>
      </c>
      <c r="R42" s="45">
        <f t="shared" si="1"/>
        <v>2.4605648436762176E-2</v>
      </c>
    </row>
    <row r="43" spans="1:18" ht="15" customHeight="1">
      <c r="A43" s="108" t="s">
        <v>543</v>
      </c>
      <c r="B43" s="109" t="s">
        <v>258</v>
      </c>
      <c r="C43" s="37" t="s">
        <v>152</v>
      </c>
      <c r="D43" s="37" t="s">
        <v>501</v>
      </c>
      <c r="E43" s="37" t="s">
        <v>5</v>
      </c>
      <c r="F43" s="4">
        <v>304700</v>
      </c>
      <c r="G43" s="4">
        <v>320216.66666666669</v>
      </c>
      <c r="H43" s="4">
        <v>313533.33333333331</v>
      </c>
      <c r="I43" s="4">
        <v>304850</v>
      </c>
      <c r="J43" s="4">
        <v>283241.66666666669</v>
      </c>
      <c r="K43" s="4">
        <v>274100</v>
      </c>
      <c r="L43" s="4">
        <v>259483.33333333331</v>
      </c>
      <c r="M43" s="4">
        <v>254258.33333333331</v>
      </c>
      <c r="N43" s="4">
        <v>259550</v>
      </c>
      <c r="O43" s="4">
        <v>262941.66666666669</v>
      </c>
      <c r="P43" s="4">
        <v>267175</v>
      </c>
      <c r="Q43" s="4">
        <v>266625</v>
      </c>
      <c r="R43" s="45">
        <f t="shared" si="1"/>
        <v>-2.0585758398053711E-3</v>
      </c>
    </row>
    <row r="44" spans="1:18" ht="15" customHeight="1">
      <c r="A44" s="108" t="s">
        <v>544</v>
      </c>
      <c r="B44" s="109" t="s">
        <v>258</v>
      </c>
      <c r="C44" s="37" t="s">
        <v>545</v>
      </c>
      <c r="D44" s="37" t="s">
        <v>501</v>
      </c>
      <c r="E44" s="37" t="s">
        <v>3</v>
      </c>
      <c r="F44" s="4">
        <v>202000</v>
      </c>
      <c r="G44" s="4">
        <v>217050</v>
      </c>
      <c r="H44" s="4">
        <v>222225</v>
      </c>
      <c r="I44" s="4">
        <v>211350</v>
      </c>
      <c r="J44" s="4">
        <v>202358.33333333331</v>
      </c>
      <c r="K44" s="4">
        <v>204816.66666666669</v>
      </c>
      <c r="L44" s="4">
        <v>190900</v>
      </c>
      <c r="M44" s="4">
        <v>181841.66666666669</v>
      </c>
      <c r="N44" s="4">
        <v>181975</v>
      </c>
      <c r="O44" s="4">
        <v>179833.33333333331</v>
      </c>
      <c r="P44" s="4">
        <v>178016.66666666669</v>
      </c>
      <c r="Q44" s="4">
        <v>181191.66666666669</v>
      </c>
      <c r="R44" s="45">
        <f t="shared" si="1"/>
        <v>1.7835408669600223E-2</v>
      </c>
    </row>
    <row r="45" spans="1:18" ht="15" customHeight="1">
      <c r="A45" s="108" t="s">
        <v>546</v>
      </c>
      <c r="B45" s="109" t="s">
        <v>258</v>
      </c>
      <c r="C45" s="37" t="s">
        <v>117</v>
      </c>
      <c r="D45" s="37" t="s">
        <v>501</v>
      </c>
      <c r="E45" s="37" t="s">
        <v>3</v>
      </c>
      <c r="F45" s="4">
        <v>219416.66666666669</v>
      </c>
      <c r="G45" s="4">
        <v>236741.66666666669</v>
      </c>
      <c r="H45" s="4">
        <v>241591.66666666669</v>
      </c>
      <c r="I45" s="4">
        <v>228900</v>
      </c>
      <c r="J45" s="4">
        <v>215525</v>
      </c>
      <c r="K45" s="4">
        <v>212925</v>
      </c>
      <c r="L45" s="4">
        <v>199325</v>
      </c>
      <c r="M45" s="4">
        <v>187708.33333333331</v>
      </c>
      <c r="N45" s="4">
        <v>188966.66666666669</v>
      </c>
      <c r="O45" s="4">
        <v>190300</v>
      </c>
      <c r="P45" s="4">
        <v>190500</v>
      </c>
      <c r="Q45" s="4">
        <v>191825</v>
      </c>
      <c r="R45" s="45">
        <f t="shared" si="1"/>
        <v>6.9553805774278214E-3</v>
      </c>
    </row>
    <row r="46" spans="1:18" ht="15" customHeight="1">
      <c r="A46" s="108" t="s">
        <v>547</v>
      </c>
      <c r="B46" s="109" t="s">
        <v>258</v>
      </c>
      <c r="C46" s="37" t="s">
        <v>47</v>
      </c>
      <c r="D46" s="37" t="s">
        <v>501</v>
      </c>
      <c r="E46" s="37" t="s">
        <v>3</v>
      </c>
      <c r="F46" s="4">
        <v>256391.66666666669</v>
      </c>
      <c r="G46" s="4">
        <v>266300</v>
      </c>
      <c r="H46" s="4">
        <v>266325</v>
      </c>
      <c r="I46" s="4">
        <v>254125</v>
      </c>
      <c r="J46" s="4">
        <v>243200</v>
      </c>
      <c r="K46" s="4">
        <v>243608.33333333331</v>
      </c>
      <c r="L46" s="4">
        <v>233250</v>
      </c>
      <c r="M46" s="4">
        <v>229466.66666666669</v>
      </c>
      <c r="N46" s="4">
        <v>231775</v>
      </c>
      <c r="O46" s="4">
        <v>234025</v>
      </c>
      <c r="P46" s="4">
        <v>234808.33333333331</v>
      </c>
      <c r="Q46" s="4">
        <v>236708.33333333331</v>
      </c>
      <c r="R46" s="45">
        <f t="shared" si="1"/>
        <v>8.091706001348618E-3</v>
      </c>
    </row>
    <row r="47" spans="1:18" ht="15" customHeight="1">
      <c r="A47" s="108" t="s">
        <v>548</v>
      </c>
      <c r="B47" s="109" t="s">
        <v>258</v>
      </c>
      <c r="C47" s="37" t="s">
        <v>13</v>
      </c>
      <c r="D47" s="37" t="s">
        <v>501</v>
      </c>
      <c r="E47" s="37" t="s">
        <v>13</v>
      </c>
      <c r="F47" s="4">
        <v>200250</v>
      </c>
      <c r="G47" s="4">
        <v>219558.33333333331</v>
      </c>
      <c r="H47" s="4">
        <v>213650</v>
      </c>
      <c r="I47" s="4">
        <v>185566.66666666669</v>
      </c>
      <c r="J47" s="4">
        <v>169675</v>
      </c>
      <c r="K47" s="4">
        <v>163533.33333333331</v>
      </c>
      <c r="L47" s="4">
        <v>155008.33333333331</v>
      </c>
      <c r="M47" s="4">
        <v>142216.66666666669</v>
      </c>
      <c r="N47" s="4">
        <v>145241.66666666669</v>
      </c>
      <c r="O47" s="4">
        <v>143041.66666666669</v>
      </c>
      <c r="P47" s="4">
        <v>144925</v>
      </c>
      <c r="Q47" s="4">
        <v>145208.33333333331</v>
      </c>
      <c r="R47" s="45">
        <f t="shared" si="1"/>
        <v>1.9550342130985952E-3</v>
      </c>
    </row>
    <row r="48" spans="1:18" ht="15" customHeight="1">
      <c r="A48" s="108" t="s">
        <v>549</v>
      </c>
      <c r="B48" s="109" t="s">
        <v>258</v>
      </c>
      <c r="C48" s="37" t="s">
        <v>42</v>
      </c>
      <c r="D48" s="37" t="s">
        <v>501</v>
      </c>
      <c r="E48" s="37" t="s">
        <v>3</v>
      </c>
      <c r="F48" s="4">
        <v>259466.66666666669</v>
      </c>
      <c r="G48" s="4">
        <v>273016.66666666669</v>
      </c>
      <c r="H48" s="4">
        <v>274333.33333333331</v>
      </c>
      <c r="I48" s="4">
        <v>264358.33333333331</v>
      </c>
      <c r="J48" s="4">
        <v>249675</v>
      </c>
      <c r="K48" s="4">
        <v>243083.33333333331</v>
      </c>
      <c r="L48" s="4">
        <v>234183.33333333331</v>
      </c>
      <c r="M48" s="4">
        <v>230966.66666666669</v>
      </c>
      <c r="N48" s="4">
        <v>231183.33333333331</v>
      </c>
      <c r="O48" s="4">
        <v>230733.33333333331</v>
      </c>
      <c r="P48" s="4">
        <v>231116.66666666669</v>
      </c>
      <c r="Q48" s="4">
        <v>236233.33333333331</v>
      </c>
      <c r="R48" s="45">
        <f t="shared" si="1"/>
        <v>2.2138890892045696E-2</v>
      </c>
    </row>
    <row r="49" spans="1:18" ht="15" customHeight="1">
      <c r="A49" s="108" t="s">
        <v>550</v>
      </c>
      <c r="B49" s="109" t="s">
        <v>258</v>
      </c>
      <c r="C49" s="37" t="s">
        <v>31</v>
      </c>
      <c r="D49" s="37" t="s">
        <v>501</v>
      </c>
      <c r="E49" s="37" t="s">
        <v>5</v>
      </c>
      <c r="F49" s="4">
        <v>312975</v>
      </c>
      <c r="G49" s="4">
        <v>322758.33333333331</v>
      </c>
      <c r="H49" s="4">
        <v>319058.33333333331</v>
      </c>
      <c r="I49" s="4">
        <v>301200</v>
      </c>
      <c r="J49" s="4">
        <v>285683.33333333331</v>
      </c>
      <c r="K49" s="4">
        <v>280225</v>
      </c>
      <c r="L49" s="4">
        <v>262016.66666666669</v>
      </c>
      <c r="M49" s="4">
        <v>258425</v>
      </c>
      <c r="N49" s="4">
        <v>266375</v>
      </c>
      <c r="O49" s="4">
        <v>270300</v>
      </c>
      <c r="P49" s="4">
        <v>269300</v>
      </c>
      <c r="Q49" s="4">
        <v>269591.66666666669</v>
      </c>
      <c r="R49" s="45">
        <f t="shared" si="1"/>
        <v>1.0830548335190719E-3</v>
      </c>
    </row>
    <row r="50" spans="1:18" ht="15" customHeight="1">
      <c r="A50" s="108" t="s">
        <v>551</v>
      </c>
      <c r="B50" s="109" t="s">
        <v>258</v>
      </c>
      <c r="C50" s="37" t="s">
        <v>109</v>
      </c>
      <c r="D50" s="37" t="s">
        <v>501</v>
      </c>
      <c r="E50" s="37" t="s">
        <v>8</v>
      </c>
      <c r="F50" s="4">
        <v>1121700</v>
      </c>
      <c r="G50" s="4">
        <v>1169975</v>
      </c>
      <c r="H50" s="4">
        <v>1124650</v>
      </c>
      <c r="I50" s="4">
        <v>1067000</v>
      </c>
      <c r="J50" s="4">
        <v>998175</v>
      </c>
      <c r="K50" s="4">
        <v>975483.33333333337</v>
      </c>
      <c r="L50" s="4">
        <v>978708.33333333337</v>
      </c>
      <c r="M50" s="4">
        <v>978283.33333333337</v>
      </c>
      <c r="N50" s="4">
        <v>1044183.333333333</v>
      </c>
      <c r="O50" s="4">
        <v>1105333.333333333</v>
      </c>
      <c r="P50" s="4">
        <v>1125966.666666667</v>
      </c>
      <c r="Q50" s="4">
        <v>1129600</v>
      </c>
      <c r="R50" s="45">
        <f t="shared" si="1"/>
        <v>3.2268569229400119E-3</v>
      </c>
    </row>
    <row r="51" spans="1:18" ht="15" customHeight="1">
      <c r="A51" s="108" t="s">
        <v>552</v>
      </c>
      <c r="B51" s="109" t="s">
        <v>258</v>
      </c>
      <c r="C51" s="37" t="s">
        <v>553</v>
      </c>
      <c r="D51" s="37" t="s">
        <v>501</v>
      </c>
      <c r="E51" s="37" t="s">
        <v>8</v>
      </c>
      <c r="F51" s="4">
        <v>725991.66666666663</v>
      </c>
      <c r="G51" s="4">
        <v>739308.33333333337</v>
      </c>
      <c r="H51" s="4">
        <v>716275</v>
      </c>
      <c r="I51" s="4">
        <v>675241.66666666663</v>
      </c>
      <c r="J51" s="4">
        <v>612291.66666666663</v>
      </c>
      <c r="K51" s="4">
        <v>596050</v>
      </c>
      <c r="L51" s="4">
        <v>587033.33333333337</v>
      </c>
      <c r="M51" s="4">
        <v>576958.33333333337</v>
      </c>
      <c r="N51" s="4">
        <v>583625</v>
      </c>
      <c r="O51" s="4">
        <v>595125</v>
      </c>
      <c r="P51" s="4">
        <v>609241.66666666663</v>
      </c>
      <c r="Q51" s="4">
        <v>612908.33333333337</v>
      </c>
      <c r="R51" s="45">
        <f t="shared" si="1"/>
        <v>6.0184108659673821E-3</v>
      </c>
    </row>
    <row r="52" spans="1:18" ht="15" customHeight="1">
      <c r="A52" s="108" t="s">
        <v>554</v>
      </c>
      <c r="B52" s="109" t="s">
        <v>258</v>
      </c>
      <c r="C52" s="37" t="s">
        <v>555</v>
      </c>
      <c r="D52" s="37" t="s">
        <v>501</v>
      </c>
      <c r="E52" s="37" t="s">
        <v>3</v>
      </c>
      <c r="F52" s="4">
        <v>245500</v>
      </c>
      <c r="G52" s="4">
        <v>257250</v>
      </c>
      <c r="H52" s="4">
        <v>259708.33333333331</v>
      </c>
      <c r="I52" s="4">
        <v>244300</v>
      </c>
      <c r="J52" s="4">
        <v>235300</v>
      </c>
      <c r="K52" s="4">
        <v>231141.66666666669</v>
      </c>
      <c r="L52" s="4">
        <v>223066.66666666669</v>
      </c>
      <c r="M52" s="4">
        <v>214166.66666666669</v>
      </c>
      <c r="N52" s="4">
        <v>214733.33333333331</v>
      </c>
      <c r="O52" s="4">
        <v>218158.33333333331</v>
      </c>
      <c r="P52" s="4">
        <v>210758.33333333331</v>
      </c>
      <c r="Q52" s="4">
        <v>212866.66666666669</v>
      </c>
      <c r="R52" s="45">
        <f t="shared" si="1"/>
        <v>1.0003558578150515E-2</v>
      </c>
    </row>
    <row r="53" spans="1:18" ht="15" customHeight="1">
      <c r="A53" s="108" t="s">
        <v>556</v>
      </c>
      <c r="B53" s="109" t="s">
        <v>258</v>
      </c>
      <c r="C53" s="37" t="s">
        <v>27</v>
      </c>
      <c r="D53" s="37" t="s">
        <v>501</v>
      </c>
      <c r="E53" s="37" t="s">
        <v>5</v>
      </c>
      <c r="F53" s="4">
        <v>392600</v>
      </c>
      <c r="G53" s="4">
        <v>415441.66666666669</v>
      </c>
      <c r="H53" s="4">
        <v>402116.66666666669</v>
      </c>
      <c r="I53" s="4">
        <v>380466.66666666669</v>
      </c>
      <c r="J53" s="4">
        <v>358925</v>
      </c>
      <c r="K53" s="4">
        <v>363308.33333333331</v>
      </c>
      <c r="L53" s="4">
        <v>352750</v>
      </c>
      <c r="M53" s="4">
        <v>356925</v>
      </c>
      <c r="N53" s="4">
        <v>370083.33333333331</v>
      </c>
      <c r="O53" s="4">
        <v>357550</v>
      </c>
      <c r="P53" s="4">
        <v>353208.33333333331</v>
      </c>
      <c r="Q53" s="4">
        <v>363816.66666666669</v>
      </c>
      <c r="R53" s="45">
        <f t="shared" si="1"/>
        <v>3.0034210215878369E-2</v>
      </c>
    </row>
    <row r="54" spans="1:18" ht="15" customHeight="1">
      <c r="A54" s="108" t="s">
        <v>557</v>
      </c>
      <c r="B54" s="109" t="s">
        <v>258</v>
      </c>
      <c r="C54" s="37" t="s">
        <v>558</v>
      </c>
      <c r="D54" s="37" t="s">
        <v>501</v>
      </c>
      <c r="E54" s="37" t="s">
        <v>32</v>
      </c>
      <c r="F54" s="4">
        <v>326666.66666666669</v>
      </c>
      <c r="G54" s="4">
        <v>336916.66666666669</v>
      </c>
      <c r="H54" s="4">
        <v>333908.33333333331</v>
      </c>
      <c r="I54" s="4">
        <v>314716.66666666669</v>
      </c>
      <c r="J54" s="4">
        <v>281900</v>
      </c>
      <c r="K54" s="4">
        <v>263166.66666666669</v>
      </c>
      <c r="L54" s="4">
        <v>251225</v>
      </c>
      <c r="M54" s="4">
        <v>242125</v>
      </c>
      <c r="N54" s="4">
        <v>240583.33333333331</v>
      </c>
      <c r="O54" s="4">
        <v>245233.33333333331</v>
      </c>
      <c r="P54" s="4">
        <v>249175</v>
      </c>
      <c r="Q54" s="4">
        <v>254633.33333333331</v>
      </c>
      <c r="R54" s="45">
        <f t="shared" si="1"/>
        <v>2.1905621885555591E-2</v>
      </c>
    </row>
    <row r="55" spans="1:18" ht="15" customHeight="1">
      <c r="A55" s="108" t="s">
        <v>559</v>
      </c>
      <c r="B55" s="109" t="s">
        <v>258</v>
      </c>
      <c r="C55" s="37" t="s">
        <v>83</v>
      </c>
      <c r="D55" s="37" t="s">
        <v>501</v>
      </c>
      <c r="E55" s="37" t="s">
        <v>8</v>
      </c>
      <c r="F55" s="4">
        <v>1391750</v>
      </c>
      <c r="G55" s="4">
        <v>1458941.666666667</v>
      </c>
      <c r="H55" s="4">
        <v>1410341.666666667</v>
      </c>
      <c r="I55" s="4">
        <v>1348175</v>
      </c>
      <c r="J55" s="4">
        <v>1215666.666666667</v>
      </c>
      <c r="K55" s="4">
        <v>1214200</v>
      </c>
      <c r="L55" s="4">
        <v>1229600</v>
      </c>
      <c r="M55" s="4">
        <v>1237350</v>
      </c>
      <c r="N55" s="4">
        <v>1308441.666666667</v>
      </c>
      <c r="O55" s="4">
        <v>1351041.666666667</v>
      </c>
      <c r="P55" s="4">
        <v>1371141.666666667</v>
      </c>
      <c r="Q55" s="4">
        <v>1357758.333333333</v>
      </c>
      <c r="R55" s="45">
        <f t="shared" si="1"/>
        <v>-9.7607225122621297E-3</v>
      </c>
    </row>
    <row r="56" spans="1:18" ht="15" customHeight="1">
      <c r="A56" s="108" t="s">
        <v>560</v>
      </c>
      <c r="B56" s="109" t="s">
        <v>258</v>
      </c>
      <c r="C56" s="37" t="s">
        <v>53</v>
      </c>
      <c r="D56" s="37" t="s">
        <v>501</v>
      </c>
      <c r="E56" s="37" t="s">
        <v>3</v>
      </c>
      <c r="F56" s="4">
        <v>210083.33333333331</v>
      </c>
      <c r="G56" s="4">
        <v>225450</v>
      </c>
      <c r="H56" s="4">
        <v>232183.33333333331</v>
      </c>
      <c r="I56" s="4">
        <v>222525</v>
      </c>
      <c r="J56" s="4">
        <v>205475</v>
      </c>
      <c r="K56" s="4">
        <v>212766.66666666669</v>
      </c>
      <c r="L56" s="4">
        <v>201525</v>
      </c>
      <c r="M56" s="4">
        <v>190883.33333333331</v>
      </c>
      <c r="N56" s="4">
        <v>191800</v>
      </c>
      <c r="O56" s="4">
        <v>193658.33333333331</v>
      </c>
      <c r="P56" s="4">
        <v>194566.66666666669</v>
      </c>
      <c r="Q56" s="4">
        <v>191891.66666666669</v>
      </c>
      <c r="R56" s="45">
        <f t="shared" si="1"/>
        <v>-1.374850094226486E-2</v>
      </c>
    </row>
    <row r="57" spans="1:18" ht="15" customHeight="1">
      <c r="A57" s="108" t="s">
        <v>561</v>
      </c>
      <c r="B57" s="109" t="s">
        <v>258</v>
      </c>
      <c r="C57" s="37" t="s">
        <v>35</v>
      </c>
      <c r="D57" s="37" t="s">
        <v>501</v>
      </c>
      <c r="E57" s="37" t="s">
        <v>8</v>
      </c>
      <c r="F57" s="4"/>
      <c r="G57" s="4"/>
      <c r="H57" s="4"/>
      <c r="I57" s="4"/>
      <c r="J57" s="4"/>
      <c r="K57" s="4">
        <v>372240</v>
      </c>
      <c r="L57" s="4">
        <v>364375</v>
      </c>
      <c r="M57" s="4">
        <v>347116.66666666669</v>
      </c>
      <c r="N57" s="4">
        <v>355216.66666666669</v>
      </c>
      <c r="O57" s="4">
        <v>364108.33333333331</v>
      </c>
      <c r="P57" s="4">
        <v>366991.66666666669</v>
      </c>
      <c r="Q57" s="4">
        <v>356541.66666666669</v>
      </c>
      <c r="R57" s="45">
        <f t="shared" si="1"/>
        <v>-2.8474761007288994E-2</v>
      </c>
    </row>
    <row r="58" spans="1:18" ht="15" customHeight="1">
      <c r="A58" s="108" t="s">
        <v>562</v>
      </c>
      <c r="B58" s="109" t="s">
        <v>258</v>
      </c>
      <c r="C58" s="37" t="s">
        <v>67</v>
      </c>
      <c r="D58" s="37" t="s">
        <v>501</v>
      </c>
      <c r="E58" s="37" t="s">
        <v>8</v>
      </c>
      <c r="F58" s="4">
        <v>1306025</v>
      </c>
      <c r="G58" s="4">
        <v>1377466.666666667</v>
      </c>
      <c r="H58" s="4">
        <v>1363116.666666667</v>
      </c>
      <c r="I58" s="4">
        <v>1324483.333333333</v>
      </c>
      <c r="J58" s="4">
        <v>1201808.333333333</v>
      </c>
      <c r="K58" s="4">
        <v>1224866.666666667</v>
      </c>
      <c r="L58" s="4">
        <v>1221283.333333333</v>
      </c>
      <c r="M58" s="4">
        <v>1224841.666666667</v>
      </c>
      <c r="N58" s="4">
        <v>1303983.333333333</v>
      </c>
      <c r="O58" s="4">
        <v>1354941.666666667</v>
      </c>
      <c r="P58" s="4">
        <v>1416550</v>
      </c>
      <c r="Q58" s="4">
        <v>1399933.333333333</v>
      </c>
      <c r="R58" s="45">
        <f t="shared" si="1"/>
        <v>-1.1730377795818698E-2</v>
      </c>
    </row>
    <row r="59" spans="1:18" ht="15" customHeight="1">
      <c r="A59" s="108" t="s">
        <v>563</v>
      </c>
      <c r="B59" s="109" t="s">
        <v>258</v>
      </c>
      <c r="C59" s="37" t="s">
        <v>120</v>
      </c>
      <c r="D59" s="37" t="s">
        <v>501</v>
      </c>
      <c r="E59" s="37" t="s">
        <v>5</v>
      </c>
      <c r="F59" s="4">
        <v>247150</v>
      </c>
      <c r="G59" s="4">
        <v>257233.33333333331</v>
      </c>
      <c r="H59" s="4">
        <v>253816.66666666669</v>
      </c>
      <c r="I59" s="4">
        <v>236425</v>
      </c>
      <c r="J59" s="4">
        <v>214925</v>
      </c>
      <c r="K59" s="4">
        <v>202341.66666666669</v>
      </c>
      <c r="L59" s="4">
        <v>187558.33333333331</v>
      </c>
      <c r="M59" s="4">
        <v>174600</v>
      </c>
      <c r="N59" s="4">
        <v>174450</v>
      </c>
      <c r="O59" s="4">
        <v>175391.66666666669</v>
      </c>
      <c r="P59" s="4">
        <v>172825</v>
      </c>
      <c r="Q59" s="4">
        <v>176641.66666666669</v>
      </c>
      <c r="R59" s="45">
        <f t="shared" si="1"/>
        <v>2.2083996335406832E-2</v>
      </c>
    </row>
    <row r="60" spans="1:18" ht="15" customHeight="1">
      <c r="A60" s="108" t="s">
        <v>564</v>
      </c>
      <c r="B60" s="109" t="s">
        <v>258</v>
      </c>
      <c r="C60" s="37" t="s">
        <v>565</v>
      </c>
      <c r="D60" s="37" t="s">
        <v>501</v>
      </c>
      <c r="E60" s="37" t="s">
        <v>8</v>
      </c>
      <c r="F60" s="4">
        <v>386658.33333333331</v>
      </c>
      <c r="G60" s="4">
        <v>395591.66666666669</v>
      </c>
      <c r="H60" s="4">
        <v>378408.33333333331</v>
      </c>
      <c r="I60" s="4">
        <v>356941.66666666669</v>
      </c>
      <c r="J60" s="4">
        <v>316733.33333333331</v>
      </c>
      <c r="K60" s="4">
        <v>306858.33333333331</v>
      </c>
      <c r="L60" s="4">
        <v>303800</v>
      </c>
      <c r="M60" s="4">
        <v>287541.66666666669</v>
      </c>
      <c r="N60" s="4">
        <v>291841.66666666669</v>
      </c>
      <c r="O60" s="4">
        <v>297558.33333333331</v>
      </c>
      <c r="P60" s="4">
        <v>303758.33333333331</v>
      </c>
      <c r="Q60" s="4">
        <v>295183.33333333331</v>
      </c>
      <c r="R60" s="45">
        <f t="shared" si="1"/>
        <v>-2.8229678198128997E-2</v>
      </c>
    </row>
    <row r="61" spans="1:18" ht="15" customHeight="1">
      <c r="A61" s="108" t="s">
        <v>566</v>
      </c>
      <c r="B61" s="109" t="s">
        <v>258</v>
      </c>
      <c r="C61" s="37" t="s">
        <v>100</v>
      </c>
      <c r="D61" s="37" t="s">
        <v>501</v>
      </c>
      <c r="E61" s="37" t="s">
        <v>5</v>
      </c>
      <c r="F61" s="4">
        <v>326666.66666666669</v>
      </c>
      <c r="G61" s="4">
        <v>343741.66666666669</v>
      </c>
      <c r="H61" s="4">
        <v>332641.66666666669</v>
      </c>
      <c r="I61" s="4">
        <v>316525</v>
      </c>
      <c r="J61" s="4">
        <v>283700</v>
      </c>
      <c r="K61" s="4">
        <v>268808.33333333331</v>
      </c>
      <c r="L61" s="4">
        <v>253566.66666666669</v>
      </c>
      <c r="M61" s="4">
        <v>243608.33333333331</v>
      </c>
      <c r="N61" s="4">
        <v>245183.33333333331</v>
      </c>
      <c r="O61" s="4">
        <v>247941.66666666669</v>
      </c>
      <c r="P61" s="4">
        <v>250775</v>
      </c>
      <c r="Q61" s="4">
        <v>265633.33333333331</v>
      </c>
      <c r="R61" s="45">
        <f t="shared" si="1"/>
        <v>5.9249659389226654E-2</v>
      </c>
    </row>
    <row r="62" spans="1:18" ht="15" customHeight="1">
      <c r="A62" s="108" t="s">
        <v>567</v>
      </c>
      <c r="B62" s="109" t="s">
        <v>258</v>
      </c>
      <c r="C62" s="37" t="s">
        <v>41</v>
      </c>
      <c r="D62" s="37" t="s">
        <v>501</v>
      </c>
      <c r="E62" s="37" t="s">
        <v>3</v>
      </c>
      <c r="F62" s="4">
        <v>254683.33333333331</v>
      </c>
      <c r="G62" s="4">
        <v>268616.66666666669</v>
      </c>
      <c r="H62" s="4">
        <v>271041.66666666669</v>
      </c>
      <c r="I62" s="4">
        <v>260866.66666666669</v>
      </c>
      <c r="J62" s="4">
        <v>247075</v>
      </c>
      <c r="K62" s="4">
        <v>242091.66666666669</v>
      </c>
      <c r="L62" s="4">
        <v>232091.66666666669</v>
      </c>
      <c r="M62" s="4">
        <v>229775</v>
      </c>
      <c r="N62" s="4">
        <v>232025</v>
      </c>
      <c r="O62" s="4">
        <v>231208.33333333331</v>
      </c>
      <c r="P62" s="4">
        <v>227050</v>
      </c>
      <c r="Q62" s="4">
        <v>231175</v>
      </c>
      <c r="R62" s="45">
        <f t="shared" si="1"/>
        <v>1.816780444835939E-2</v>
      </c>
    </row>
    <row r="63" spans="1:18" ht="15" customHeight="1">
      <c r="A63" s="108" t="s">
        <v>568</v>
      </c>
      <c r="B63" s="109" t="s">
        <v>258</v>
      </c>
      <c r="C63" s="37" t="s">
        <v>65</v>
      </c>
      <c r="D63" s="37" t="s">
        <v>501</v>
      </c>
      <c r="E63" s="37" t="s">
        <v>8</v>
      </c>
      <c r="F63" s="4">
        <v>900475</v>
      </c>
      <c r="G63" s="4">
        <v>887341.66666666663</v>
      </c>
      <c r="H63" s="4">
        <v>867608.33333333337</v>
      </c>
      <c r="I63" s="4">
        <v>815900</v>
      </c>
      <c r="J63" s="4">
        <v>749025</v>
      </c>
      <c r="K63" s="4">
        <v>718058.33333333337</v>
      </c>
      <c r="L63" s="4">
        <v>711066.66666666663</v>
      </c>
      <c r="M63" s="4">
        <v>690516.66666666663</v>
      </c>
      <c r="N63" s="4">
        <v>722633.33333333337</v>
      </c>
      <c r="O63" s="4">
        <v>739500</v>
      </c>
      <c r="P63" s="4">
        <v>756341.66666666663</v>
      </c>
      <c r="Q63" s="4">
        <v>744308.33333333337</v>
      </c>
      <c r="R63" s="45">
        <f t="shared" si="1"/>
        <v>-1.5909917255208635E-2</v>
      </c>
    </row>
    <row r="64" spans="1:18" ht="15" customHeight="1">
      <c r="A64" s="108" t="s">
        <v>569</v>
      </c>
      <c r="B64" s="109" t="s">
        <v>258</v>
      </c>
      <c r="C64" s="37" t="s">
        <v>570</v>
      </c>
      <c r="D64" s="37" t="s">
        <v>501</v>
      </c>
      <c r="E64" s="37" t="s">
        <v>13</v>
      </c>
      <c r="F64" s="4">
        <v>238775</v>
      </c>
      <c r="G64" s="4">
        <v>251900</v>
      </c>
      <c r="H64" s="4">
        <v>247808.33333333331</v>
      </c>
      <c r="I64" s="4">
        <v>237300</v>
      </c>
      <c r="J64" s="4">
        <v>224208.33333333331</v>
      </c>
      <c r="K64" s="4">
        <v>216741.66666666669</v>
      </c>
      <c r="L64" s="4">
        <v>205358.33333333331</v>
      </c>
      <c r="M64" s="4">
        <v>191916.66666666669</v>
      </c>
      <c r="N64" s="4">
        <v>194891.66666666669</v>
      </c>
      <c r="O64" s="4">
        <v>195383.33333333331</v>
      </c>
      <c r="P64" s="4">
        <v>193925</v>
      </c>
      <c r="Q64" s="4">
        <v>204308.33333333331</v>
      </c>
      <c r="R64" s="45">
        <f t="shared" si="1"/>
        <v>5.3543036397232506E-2</v>
      </c>
    </row>
    <row r="65" spans="1:18" ht="15" customHeight="1">
      <c r="A65" s="108" t="s">
        <v>571</v>
      </c>
      <c r="B65" s="109" t="s">
        <v>258</v>
      </c>
      <c r="C65" s="37" t="s">
        <v>79</v>
      </c>
      <c r="D65" s="37" t="s">
        <v>501</v>
      </c>
      <c r="E65" s="37" t="s">
        <v>3</v>
      </c>
      <c r="F65" s="4">
        <v>191458.33333333331</v>
      </c>
      <c r="G65" s="4">
        <v>207041.66666666669</v>
      </c>
      <c r="H65" s="4">
        <v>212825</v>
      </c>
      <c r="I65" s="4">
        <v>203108.33333333331</v>
      </c>
      <c r="J65" s="4">
        <v>194925</v>
      </c>
      <c r="K65" s="4">
        <v>192316.66666666669</v>
      </c>
      <c r="L65" s="4">
        <v>183841.66666666669</v>
      </c>
      <c r="M65" s="4">
        <v>176450</v>
      </c>
      <c r="N65" s="4">
        <v>176025</v>
      </c>
      <c r="O65" s="4">
        <v>175133.33333333331</v>
      </c>
      <c r="P65" s="4">
        <v>176350</v>
      </c>
      <c r="Q65" s="4">
        <v>175783.33333333331</v>
      </c>
      <c r="R65" s="45">
        <f t="shared" si="1"/>
        <v>-3.2133068708062721E-3</v>
      </c>
    </row>
    <row r="66" spans="1:18" ht="15" customHeight="1">
      <c r="A66" s="108" t="s">
        <v>572</v>
      </c>
      <c r="B66" s="109" t="s">
        <v>258</v>
      </c>
      <c r="C66" s="37" t="s">
        <v>61</v>
      </c>
      <c r="D66" s="37" t="s">
        <v>501</v>
      </c>
      <c r="E66" s="37" t="s">
        <v>3</v>
      </c>
      <c r="F66" s="4">
        <v>280291.66666666669</v>
      </c>
      <c r="G66" s="4">
        <v>294533.33333333331</v>
      </c>
      <c r="H66" s="4">
        <v>295125</v>
      </c>
      <c r="I66" s="4">
        <v>280358.33333333331</v>
      </c>
      <c r="J66" s="4">
        <v>270975</v>
      </c>
      <c r="K66" s="4">
        <v>270158.33333333331</v>
      </c>
      <c r="L66" s="4">
        <v>259333.33333333331</v>
      </c>
      <c r="M66" s="4">
        <v>251008.33333333331</v>
      </c>
      <c r="N66" s="4">
        <v>256841.66666666669</v>
      </c>
      <c r="O66" s="4">
        <v>260366.66666666669</v>
      </c>
      <c r="P66" s="4">
        <v>261966.66666666669</v>
      </c>
      <c r="Q66" s="4">
        <v>264933.33333333331</v>
      </c>
      <c r="R66" s="45">
        <f t="shared" si="1"/>
        <v>1.1324596004580587E-2</v>
      </c>
    </row>
    <row r="67" spans="1:18" ht="15" customHeight="1">
      <c r="A67" s="108" t="s">
        <v>573</v>
      </c>
      <c r="B67" s="109" t="s">
        <v>258</v>
      </c>
      <c r="C67" s="37" t="s">
        <v>574</v>
      </c>
      <c r="D67" s="37" t="s">
        <v>501</v>
      </c>
      <c r="E67" s="37" t="s">
        <v>510</v>
      </c>
      <c r="F67" s="4">
        <v>154583.33333333331</v>
      </c>
      <c r="G67" s="4">
        <v>169833.33333333331</v>
      </c>
      <c r="H67" s="4">
        <v>169808.33333333331</v>
      </c>
      <c r="I67" s="4">
        <v>158775</v>
      </c>
      <c r="J67" s="4">
        <v>150741.66666666669</v>
      </c>
      <c r="K67" s="4">
        <v>145925</v>
      </c>
      <c r="L67" s="4">
        <v>136708.33333333331</v>
      </c>
      <c r="M67" s="4">
        <v>124116.6666666667</v>
      </c>
      <c r="N67" s="4">
        <v>122008.3333333333</v>
      </c>
      <c r="O67" s="4">
        <v>117700</v>
      </c>
      <c r="P67" s="4">
        <v>117275</v>
      </c>
      <c r="Q67" s="4">
        <v>123166.6666666667</v>
      </c>
      <c r="R67" s="45">
        <f t="shared" ref="R67:R98" si="2">(Q67-P67)/P67</f>
        <v>5.0238044482342363E-2</v>
      </c>
    </row>
    <row r="68" spans="1:18" ht="15" customHeight="1">
      <c r="A68" s="108" t="s">
        <v>575</v>
      </c>
      <c r="B68" s="109" t="s">
        <v>258</v>
      </c>
      <c r="C68" s="37" t="s">
        <v>28</v>
      </c>
      <c r="D68" s="37" t="s">
        <v>501</v>
      </c>
      <c r="E68" s="37" t="s">
        <v>5</v>
      </c>
      <c r="F68" s="4">
        <v>239716.66666666669</v>
      </c>
      <c r="G68" s="4">
        <v>249175</v>
      </c>
      <c r="H68" s="4">
        <v>258025</v>
      </c>
      <c r="I68" s="4">
        <v>240500</v>
      </c>
      <c r="J68" s="4">
        <v>222000</v>
      </c>
      <c r="K68" s="4">
        <v>223341.66666666669</v>
      </c>
      <c r="L68" s="4">
        <v>217541.66666666669</v>
      </c>
      <c r="M68" s="4">
        <v>206216.66666666669</v>
      </c>
      <c r="N68" s="4">
        <v>204075</v>
      </c>
      <c r="O68" s="4">
        <v>206083.33333333331</v>
      </c>
      <c r="P68" s="4">
        <v>204883.33333333331</v>
      </c>
      <c r="Q68" s="4">
        <v>214250</v>
      </c>
      <c r="R68" s="45">
        <f t="shared" si="2"/>
        <v>4.571707475799245E-2</v>
      </c>
    </row>
    <row r="69" spans="1:18" ht="15" customHeight="1">
      <c r="A69" s="108" t="s">
        <v>576</v>
      </c>
      <c r="B69" s="109" t="s">
        <v>258</v>
      </c>
      <c r="C69" s="37" t="s">
        <v>16</v>
      </c>
      <c r="D69" s="37" t="s">
        <v>501</v>
      </c>
      <c r="E69" s="37" t="s">
        <v>8</v>
      </c>
      <c r="F69" s="4">
        <v>423216.66666666669</v>
      </c>
      <c r="G69" s="4">
        <v>423216.66666666669</v>
      </c>
      <c r="H69" s="4">
        <v>409916.66666666669</v>
      </c>
      <c r="I69" s="4">
        <v>383350</v>
      </c>
      <c r="J69" s="4">
        <v>351075</v>
      </c>
      <c r="K69" s="4">
        <v>340866.66666666669</v>
      </c>
      <c r="L69" s="4">
        <v>331366.66666666669</v>
      </c>
      <c r="M69" s="4">
        <v>317216.66666666669</v>
      </c>
      <c r="N69" s="4">
        <v>325525</v>
      </c>
      <c r="O69" s="4">
        <v>329283.33333333331</v>
      </c>
      <c r="P69" s="4">
        <v>333766.66666666669</v>
      </c>
      <c r="Q69" s="4">
        <v>335016.66666666669</v>
      </c>
      <c r="R69" s="45">
        <f t="shared" si="2"/>
        <v>3.7451313292719461E-3</v>
      </c>
    </row>
    <row r="70" spans="1:18" ht="15" customHeight="1">
      <c r="A70" s="108" t="s">
        <v>577</v>
      </c>
      <c r="B70" s="109" t="s">
        <v>258</v>
      </c>
      <c r="C70" s="37" t="s">
        <v>36</v>
      </c>
      <c r="D70" s="37" t="s">
        <v>501</v>
      </c>
      <c r="E70" s="37" t="s">
        <v>8</v>
      </c>
      <c r="F70" s="4">
        <v>499575</v>
      </c>
      <c r="G70" s="4">
        <v>516950</v>
      </c>
      <c r="H70" s="4">
        <v>511525</v>
      </c>
      <c r="I70" s="4">
        <v>477483.33333333331</v>
      </c>
      <c r="J70" s="4">
        <v>425700</v>
      </c>
      <c r="K70" s="4">
        <v>391908.33333333331</v>
      </c>
      <c r="L70" s="4">
        <v>374841.66666666669</v>
      </c>
      <c r="M70" s="4">
        <v>358683.33333333331</v>
      </c>
      <c r="N70" s="4">
        <v>362591.66666666669</v>
      </c>
      <c r="O70" s="4">
        <v>368116.66666666669</v>
      </c>
      <c r="P70" s="4">
        <v>372625</v>
      </c>
      <c r="Q70" s="4">
        <v>365091.66666666669</v>
      </c>
      <c r="R70" s="45">
        <f t="shared" si="2"/>
        <v>-2.021692944202164E-2</v>
      </c>
    </row>
    <row r="71" spans="1:18" ht="15" customHeight="1">
      <c r="A71" s="108" t="s">
        <v>578</v>
      </c>
      <c r="B71" s="109" t="s">
        <v>258</v>
      </c>
      <c r="C71" s="37" t="s">
        <v>118</v>
      </c>
      <c r="D71" s="37" t="s">
        <v>501</v>
      </c>
      <c r="E71" s="37" t="s">
        <v>5</v>
      </c>
      <c r="F71" s="4">
        <v>474766.66666666669</v>
      </c>
      <c r="G71" s="4">
        <v>496266.66666666669</v>
      </c>
      <c r="H71" s="4">
        <v>480741.66666666669</v>
      </c>
      <c r="I71" s="4">
        <v>466166.66666666669</v>
      </c>
      <c r="J71" s="4">
        <v>430250</v>
      </c>
      <c r="K71" s="4">
        <v>420591.66666666669</v>
      </c>
      <c r="L71" s="4">
        <v>398216.66666666669</v>
      </c>
      <c r="M71" s="4">
        <v>388200</v>
      </c>
      <c r="N71" s="4">
        <v>398716.66666666669</v>
      </c>
      <c r="O71" s="4">
        <v>402400</v>
      </c>
      <c r="P71" s="4">
        <v>396616.66666666669</v>
      </c>
      <c r="Q71" s="4">
        <v>401116.66666666669</v>
      </c>
      <c r="R71" s="45">
        <f t="shared" si="2"/>
        <v>1.1345967979157037E-2</v>
      </c>
    </row>
    <row r="72" spans="1:18" ht="15" customHeight="1">
      <c r="A72" s="108" t="s">
        <v>579</v>
      </c>
      <c r="B72" s="109" t="s">
        <v>258</v>
      </c>
      <c r="C72" s="37" t="s">
        <v>580</v>
      </c>
      <c r="D72" s="37" t="s">
        <v>501</v>
      </c>
      <c r="E72" s="37" t="s">
        <v>13</v>
      </c>
      <c r="F72" s="4">
        <v>269708.33333333331</v>
      </c>
      <c r="G72" s="4">
        <v>279658.33333333331</v>
      </c>
      <c r="H72" s="4">
        <v>275116.66666666669</v>
      </c>
      <c r="I72" s="4">
        <v>263241.66666666669</v>
      </c>
      <c r="J72" s="4">
        <v>247500</v>
      </c>
      <c r="K72" s="4">
        <v>247966.66666666669</v>
      </c>
      <c r="L72" s="4">
        <v>240625</v>
      </c>
      <c r="M72" s="4">
        <v>227925</v>
      </c>
      <c r="N72" s="4">
        <v>231325</v>
      </c>
      <c r="O72" s="4">
        <v>237191.66666666669</v>
      </c>
      <c r="P72" s="4">
        <v>234183.33333333331</v>
      </c>
      <c r="Q72" s="4">
        <v>233000</v>
      </c>
      <c r="R72" s="45">
        <f t="shared" si="2"/>
        <v>-5.0530211372855202E-3</v>
      </c>
    </row>
    <row r="73" spans="1:18" ht="15" customHeight="1">
      <c r="A73" s="108" t="s">
        <v>581</v>
      </c>
      <c r="B73" s="109" t="s">
        <v>258</v>
      </c>
      <c r="C73" s="37" t="s">
        <v>137</v>
      </c>
      <c r="D73" s="37" t="s">
        <v>501</v>
      </c>
      <c r="E73" s="37" t="s">
        <v>3</v>
      </c>
      <c r="F73" s="4">
        <v>289841.66666666669</v>
      </c>
      <c r="G73" s="4">
        <v>299283.33333333331</v>
      </c>
      <c r="H73" s="4">
        <v>303783.33333333331</v>
      </c>
      <c r="I73" s="4">
        <v>299366.66666666669</v>
      </c>
      <c r="J73" s="4">
        <v>282583.33333333331</v>
      </c>
      <c r="K73" s="4">
        <v>285275</v>
      </c>
      <c r="L73" s="4">
        <v>272716.66666666669</v>
      </c>
      <c r="M73" s="4">
        <v>272775</v>
      </c>
      <c r="N73" s="4">
        <v>273641.66666666669</v>
      </c>
      <c r="O73" s="4">
        <v>275766.66666666669</v>
      </c>
      <c r="P73" s="4">
        <v>275633.33333333331</v>
      </c>
      <c r="Q73" s="4">
        <v>277975</v>
      </c>
      <c r="R73" s="45">
        <f t="shared" si="2"/>
        <v>8.4955859233281639E-3</v>
      </c>
    </row>
    <row r="74" spans="1:18" ht="15" customHeight="1">
      <c r="A74" s="108" t="s">
        <v>582</v>
      </c>
      <c r="B74" s="109" t="s">
        <v>258</v>
      </c>
      <c r="C74" s="37" t="s">
        <v>64</v>
      </c>
      <c r="D74" s="37" t="s">
        <v>501</v>
      </c>
      <c r="E74" s="37" t="s">
        <v>3</v>
      </c>
      <c r="F74" s="4">
        <v>375483.33333333331</v>
      </c>
      <c r="G74" s="4">
        <v>389391.66666666669</v>
      </c>
      <c r="H74" s="4">
        <v>392858.33333333331</v>
      </c>
      <c r="I74" s="4">
        <v>374925</v>
      </c>
      <c r="J74" s="4">
        <v>365433.33333333331</v>
      </c>
      <c r="K74" s="4">
        <v>356175</v>
      </c>
      <c r="L74" s="4">
        <v>343650</v>
      </c>
      <c r="M74" s="4">
        <v>337750</v>
      </c>
      <c r="N74" s="4">
        <v>342841.66666666669</v>
      </c>
      <c r="O74" s="4">
        <v>345225</v>
      </c>
      <c r="P74" s="4">
        <v>343233.33333333331</v>
      </c>
      <c r="Q74" s="4">
        <v>338466.66666666669</v>
      </c>
      <c r="R74" s="45">
        <f t="shared" si="2"/>
        <v>-1.38875400602116E-2</v>
      </c>
    </row>
    <row r="75" spans="1:18" ht="15" customHeight="1">
      <c r="A75" s="108" t="s">
        <v>583</v>
      </c>
      <c r="B75" s="109" t="s">
        <v>258</v>
      </c>
      <c r="C75" s="37" t="s">
        <v>149</v>
      </c>
      <c r="D75" s="37" t="s">
        <v>501</v>
      </c>
      <c r="E75" s="37" t="s">
        <v>3</v>
      </c>
      <c r="F75" s="4">
        <v>258275</v>
      </c>
      <c r="G75" s="4">
        <v>271508.33333333331</v>
      </c>
      <c r="H75" s="4">
        <v>274166.66666666669</v>
      </c>
      <c r="I75" s="4">
        <v>258475</v>
      </c>
      <c r="J75" s="4">
        <v>253825</v>
      </c>
      <c r="K75" s="4">
        <v>249333.33333333331</v>
      </c>
      <c r="L75" s="4">
        <v>236675</v>
      </c>
      <c r="M75" s="4">
        <v>229775</v>
      </c>
      <c r="N75" s="4">
        <v>231808.33333333331</v>
      </c>
      <c r="O75" s="4">
        <v>237741.66666666669</v>
      </c>
      <c r="P75" s="4">
        <v>234783.33333333331</v>
      </c>
      <c r="Q75" s="4">
        <v>236566.66666666669</v>
      </c>
      <c r="R75" s="45">
        <f t="shared" si="2"/>
        <v>7.5956555689644595E-3</v>
      </c>
    </row>
    <row r="76" spans="1:18" ht="15" customHeight="1">
      <c r="A76" s="108" t="s">
        <v>584</v>
      </c>
      <c r="B76" s="109" t="s">
        <v>258</v>
      </c>
      <c r="C76" s="37" t="s">
        <v>59</v>
      </c>
      <c r="D76" s="37" t="s">
        <v>501</v>
      </c>
      <c r="E76" s="37" t="s">
        <v>3</v>
      </c>
      <c r="F76" s="4">
        <v>275350</v>
      </c>
      <c r="G76" s="4">
        <v>288900</v>
      </c>
      <c r="H76" s="4">
        <v>287350</v>
      </c>
      <c r="I76" s="4">
        <v>272050</v>
      </c>
      <c r="J76" s="4">
        <v>268416.66666666669</v>
      </c>
      <c r="K76" s="4">
        <v>267691.66666666669</v>
      </c>
      <c r="L76" s="4">
        <v>253416.66666666669</v>
      </c>
      <c r="M76" s="4">
        <v>250050</v>
      </c>
      <c r="N76" s="4">
        <v>253041.66666666669</v>
      </c>
      <c r="O76" s="4">
        <v>259200</v>
      </c>
      <c r="P76" s="4">
        <v>251891.66666666669</v>
      </c>
      <c r="Q76" s="4">
        <v>253050</v>
      </c>
      <c r="R76" s="45">
        <f t="shared" si="2"/>
        <v>4.5985377311674215E-3</v>
      </c>
    </row>
    <row r="77" spans="1:18" ht="15" customHeight="1">
      <c r="A77" s="108" t="s">
        <v>585</v>
      </c>
      <c r="B77" s="109" t="s">
        <v>258</v>
      </c>
      <c r="C77" s="37" t="s">
        <v>86</v>
      </c>
      <c r="D77" s="37" t="s">
        <v>501</v>
      </c>
      <c r="E77" s="37" t="s">
        <v>13</v>
      </c>
      <c r="F77" s="4">
        <v>224083.33333333331</v>
      </c>
      <c r="G77" s="4">
        <v>233316.66666666669</v>
      </c>
      <c r="H77" s="4">
        <v>227258.33333333331</v>
      </c>
      <c r="I77" s="4">
        <v>215341.66666666669</v>
      </c>
      <c r="J77" s="4">
        <v>199066.66666666669</v>
      </c>
      <c r="K77" s="4">
        <v>194741.66666666669</v>
      </c>
      <c r="L77" s="4">
        <v>186350</v>
      </c>
      <c r="M77" s="4">
        <v>174875</v>
      </c>
      <c r="N77" s="4">
        <v>175375</v>
      </c>
      <c r="O77" s="4">
        <v>175100</v>
      </c>
      <c r="P77" s="4">
        <v>176141.66666666669</v>
      </c>
      <c r="Q77" s="4">
        <v>177933.33333333331</v>
      </c>
      <c r="R77" s="45">
        <f t="shared" si="2"/>
        <v>1.0171736764914383E-2</v>
      </c>
    </row>
    <row r="78" spans="1:18" ht="15" customHeight="1">
      <c r="A78" s="108" t="s">
        <v>586</v>
      </c>
      <c r="B78" s="109" t="s">
        <v>258</v>
      </c>
      <c r="C78" s="37" t="s">
        <v>139</v>
      </c>
      <c r="D78" s="37" t="s">
        <v>501</v>
      </c>
      <c r="E78" s="37" t="s">
        <v>510</v>
      </c>
      <c r="F78" s="4">
        <v>211416.66666666669</v>
      </c>
      <c r="G78" s="4">
        <v>228091.66666666669</v>
      </c>
      <c r="H78" s="4">
        <v>224291.66666666669</v>
      </c>
      <c r="I78" s="4">
        <v>205783.33333333331</v>
      </c>
      <c r="J78" s="4">
        <v>189016.66666666669</v>
      </c>
      <c r="K78" s="4">
        <v>179866.66666666669</v>
      </c>
      <c r="L78" s="4">
        <v>167658.33333333331</v>
      </c>
      <c r="M78" s="4">
        <v>157758.33333333331</v>
      </c>
      <c r="N78" s="4">
        <v>159983.33333333331</v>
      </c>
      <c r="O78" s="4">
        <v>160850</v>
      </c>
      <c r="P78" s="4">
        <v>164525</v>
      </c>
      <c r="Q78" s="4">
        <v>169158.33333333331</v>
      </c>
      <c r="R78" s="45">
        <f t="shared" si="2"/>
        <v>2.8161880160056611E-2</v>
      </c>
    </row>
    <row r="79" spans="1:18" ht="15" customHeight="1">
      <c r="A79" s="108" t="s">
        <v>587</v>
      </c>
      <c r="B79" s="109" t="s">
        <v>258</v>
      </c>
      <c r="C79" s="37" t="s">
        <v>50</v>
      </c>
      <c r="D79" s="37" t="s">
        <v>501</v>
      </c>
      <c r="E79" s="37" t="s">
        <v>3</v>
      </c>
      <c r="F79" s="4">
        <v>290925</v>
      </c>
      <c r="G79" s="4">
        <v>301650</v>
      </c>
      <c r="H79" s="4">
        <v>309358.33333333331</v>
      </c>
      <c r="I79" s="4">
        <v>300183.33333333331</v>
      </c>
      <c r="J79" s="4">
        <v>294700</v>
      </c>
      <c r="K79" s="4">
        <v>291483.33333333331</v>
      </c>
      <c r="L79" s="4">
        <v>275908.33333333331</v>
      </c>
      <c r="M79" s="4">
        <v>275650</v>
      </c>
      <c r="N79" s="4">
        <v>275950</v>
      </c>
      <c r="O79" s="4">
        <v>285666.66666666669</v>
      </c>
      <c r="P79" s="4">
        <v>285766.66666666669</v>
      </c>
      <c r="Q79" s="4">
        <v>281408.33333333331</v>
      </c>
      <c r="R79" s="45">
        <f t="shared" si="2"/>
        <v>-1.525137058206009E-2</v>
      </c>
    </row>
    <row r="80" spans="1:18" ht="15" customHeight="1">
      <c r="A80" s="108" t="s">
        <v>588</v>
      </c>
      <c r="B80" s="109" t="s">
        <v>258</v>
      </c>
      <c r="C80" s="37" t="s">
        <v>124</v>
      </c>
      <c r="D80" s="37" t="s">
        <v>501</v>
      </c>
      <c r="E80" s="37" t="s">
        <v>5</v>
      </c>
      <c r="F80" s="4">
        <v>396841.66666666669</v>
      </c>
      <c r="G80" s="4">
        <v>408958.33333333331</v>
      </c>
      <c r="H80" s="4">
        <v>408508.33333333331</v>
      </c>
      <c r="I80" s="4">
        <v>381566.66666666669</v>
      </c>
      <c r="J80" s="4">
        <v>357216.66666666669</v>
      </c>
      <c r="K80" s="4">
        <v>350183.33333333331</v>
      </c>
      <c r="L80" s="4">
        <v>335908.33333333331</v>
      </c>
      <c r="M80" s="4">
        <v>328391.66666666669</v>
      </c>
      <c r="N80" s="4">
        <v>342175</v>
      </c>
      <c r="O80" s="4">
        <v>335816.66666666669</v>
      </c>
      <c r="P80" s="4">
        <v>336841.66666666669</v>
      </c>
      <c r="Q80" s="4">
        <v>346550</v>
      </c>
      <c r="R80" s="45">
        <f t="shared" si="2"/>
        <v>2.8821652111526128E-2</v>
      </c>
    </row>
    <row r="81" spans="1:18" ht="15" customHeight="1">
      <c r="A81" s="108" t="s">
        <v>589</v>
      </c>
      <c r="B81" s="109" t="s">
        <v>258</v>
      </c>
      <c r="C81" s="37" t="s">
        <v>80</v>
      </c>
      <c r="D81" s="37" t="s">
        <v>501</v>
      </c>
      <c r="E81" s="37" t="s">
        <v>8</v>
      </c>
      <c r="F81" s="4">
        <v>407300</v>
      </c>
      <c r="G81" s="4">
        <v>416991.66666666669</v>
      </c>
      <c r="H81" s="4">
        <v>416875</v>
      </c>
      <c r="I81" s="4">
        <v>389750</v>
      </c>
      <c r="J81" s="4">
        <v>355558.33333333331</v>
      </c>
      <c r="K81" s="4">
        <v>337508.33333333331</v>
      </c>
      <c r="L81" s="4">
        <v>335625</v>
      </c>
      <c r="M81" s="4">
        <v>321116.66666666669</v>
      </c>
      <c r="N81" s="4">
        <v>328733.33333333331</v>
      </c>
      <c r="O81" s="4">
        <v>327291.66666666669</v>
      </c>
      <c r="P81" s="4">
        <v>329566.66666666669</v>
      </c>
      <c r="Q81" s="4">
        <v>333500</v>
      </c>
      <c r="R81" s="45">
        <f t="shared" si="2"/>
        <v>1.1934863962779348E-2</v>
      </c>
    </row>
    <row r="82" spans="1:18" ht="15" customHeight="1">
      <c r="A82" s="108" t="s">
        <v>590</v>
      </c>
      <c r="B82" s="109" t="s">
        <v>258</v>
      </c>
      <c r="C82" s="37" t="s">
        <v>25</v>
      </c>
      <c r="D82" s="37" t="s">
        <v>501</v>
      </c>
      <c r="E82" s="37" t="s">
        <v>32</v>
      </c>
      <c r="F82" s="4">
        <v>252133.33333333331</v>
      </c>
      <c r="G82" s="4">
        <v>270583.33333333331</v>
      </c>
      <c r="H82" s="4">
        <v>273616.66666666669</v>
      </c>
      <c r="I82" s="4">
        <v>253958.33333333331</v>
      </c>
      <c r="J82" s="4">
        <v>229950</v>
      </c>
      <c r="K82" s="4">
        <v>212216.66666666669</v>
      </c>
      <c r="L82" s="4">
        <v>205525</v>
      </c>
      <c r="M82" s="4">
        <v>189633.33333333331</v>
      </c>
      <c r="N82" s="4">
        <v>196058.33333333331</v>
      </c>
      <c r="O82" s="4">
        <v>194116.66666666669</v>
      </c>
      <c r="P82" s="4">
        <v>193425</v>
      </c>
      <c r="Q82" s="4">
        <v>195983.33333333331</v>
      </c>
      <c r="R82" s="45">
        <f t="shared" si="2"/>
        <v>1.3226487441299284E-2</v>
      </c>
    </row>
    <row r="83" spans="1:18" ht="15" customHeight="1">
      <c r="A83" s="108" t="s">
        <v>591</v>
      </c>
      <c r="B83" s="109" t="s">
        <v>258</v>
      </c>
      <c r="C83" s="37" t="s">
        <v>24</v>
      </c>
      <c r="D83" s="37" t="s">
        <v>501</v>
      </c>
      <c r="E83" s="37" t="s">
        <v>5</v>
      </c>
      <c r="F83" s="4">
        <v>287925</v>
      </c>
      <c r="G83" s="4">
        <v>304741.66666666669</v>
      </c>
      <c r="H83" s="4">
        <v>294675</v>
      </c>
      <c r="I83" s="4">
        <v>272041.66666666669</v>
      </c>
      <c r="J83" s="4">
        <v>250716.66666666669</v>
      </c>
      <c r="K83" s="4">
        <v>244941.66666666669</v>
      </c>
      <c r="L83" s="4">
        <v>235425</v>
      </c>
      <c r="M83" s="4">
        <v>217541.66666666669</v>
      </c>
      <c r="N83" s="4">
        <v>221616.66666666669</v>
      </c>
      <c r="O83" s="4">
        <v>226783.33333333331</v>
      </c>
      <c r="P83" s="4">
        <v>224575</v>
      </c>
      <c r="Q83" s="4">
        <v>226791.66666666669</v>
      </c>
      <c r="R83" s="45">
        <f t="shared" si="2"/>
        <v>9.870496122305181E-3</v>
      </c>
    </row>
    <row r="84" spans="1:18" ht="15" customHeight="1">
      <c r="A84" s="108" t="s">
        <v>592</v>
      </c>
      <c r="B84" s="109" t="s">
        <v>258</v>
      </c>
      <c r="C84" s="37" t="s">
        <v>119</v>
      </c>
      <c r="D84" s="37" t="s">
        <v>501</v>
      </c>
      <c r="E84" s="37" t="s">
        <v>3</v>
      </c>
      <c r="F84" s="4">
        <v>230525</v>
      </c>
      <c r="G84" s="4">
        <v>243766.66666666669</v>
      </c>
      <c r="H84" s="4">
        <v>242441.66666666669</v>
      </c>
      <c r="I84" s="4">
        <v>234491.66666666669</v>
      </c>
      <c r="J84" s="4">
        <v>221316.66666666669</v>
      </c>
      <c r="K84" s="4">
        <v>214108.33333333331</v>
      </c>
      <c r="L84" s="4">
        <v>204075</v>
      </c>
      <c r="M84" s="4">
        <v>198175</v>
      </c>
      <c r="N84" s="4">
        <v>199700</v>
      </c>
      <c r="O84" s="4">
        <v>204025</v>
      </c>
      <c r="P84" s="4">
        <v>200291.66666666669</v>
      </c>
      <c r="Q84" s="4">
        <v>203491.66666666669</v>
      </c>
      <c r="R84" s="45">
        <f t="shared" si="2"/>
        <v>1.5976700644892865E-2</v>
      </c>
    </row>
    <row r="85" spans="1:18" ht="15" customHeight="1">
      <c r="A85" s="108" t="s">
        <v>593</v>
      </c>
      <c r="B85" s="109" t="s">
        <v>258</v>
      </c>
      <c r="C85" s="37" t="s">
        <v>157</v>
      </c>
      <c r="D85" s="37" t="s">
        <v>501</v>
      </c>
      <c r="E85" s="37" t="s">
        <v>5</v>
      </c>
      <c r="F85" s="4">
        <v>374816.66666666669</v>
      </c>
      <c r="G85" s="4">
        <v>399266.66666666669</v>
      </c>
      <c r="H85" s="4">
        <v>394450</v>
      </c>
      <c r="I85" s="4">
        <v>373091.66666666669</v>
      </c>
      <c r="J85" s="4">
        <v>348625</v>
      </c>
      <c r="K85" s="4">
        <v>343366.66666666669</v>
      </c>
      <c r="L85" s="4">
        <v>329300</v>
      </c>
      <c r="M85" s="4">
        <v>315983.33333333331</v>
      </c>
      <c r="N85" s="4">
        <v>325416.66666666669</v>
      </c>
      <c r="O85" s="4">
        <v>324091.66666666669</v>
      </c>
      <c r="P85" s="4">
        <v>325341.66666666669</v>
      </c>
      <c r="Q85" s="4">
        <v>324016.66666666669</v>
      </c>
      <c r="R85" s="45">
        <f t="shared" si="2"/>
        <v>-4.0726415819266918E-3</v>
      </c>
    </row>
    <row r="86" spans="1:18" ht="15" customHeight="1">
      <c r="A86" s="108" t="s">
        <v>594</v>
      </c>
      <c r="B86" s="109" t="s">
        <v>258</v>
      </c>
      <c r="C86" s="37" t="s">
        <v>129</v>
      </c>
      <c r="D86" s="37" t="s">
        <v>501</v>
      </c>
      <c r="E86" s="37" t="s">
        <v>510</v>
      </c>
      <c r="F86" s="4">
        <v>206375</v>
      </c>
      <c r="G86" s="4">
        <v>221041.66666666669</v>
      </c>
      <c r="H86" s="4">
        <v>214900</v>
      </c>
      <c r="I86" s="4">
        <v>197658.33333333331</v>
      </c>
      <c r="J86" s="4">
        <v>184833.33333333331</v>
      </c>
      <c r="K86" s="4">
        <v>170850</v>
      </c>
      <c r="L86" s="4">
        <v>161125</v>
      </c>
      <c r="M86" s="4">
        <v>151800</v>
      </c>
      <c r="N86" s="4">
        <v>155008.33333333331</v>
      </c>
      <c r="O86" s="4">
        <v>154966.66666666669</v>
      </c>
      <c r="P86" s="4">
        <v>156433.33333333331</v>
      </c>
      <c r="Q86" s="4">
        <v>160500</v>
      </c>
      <c r="R86" s="45">
        <f t="shared" si="2"/>
        <v>2.5996164500319753E-2</v>
      </c>
    </row>
    <row r="87" spans="1:18" ht="15" customHeight="1">
      <c r="A87" s="108" t="s">
        <v>595</v>
      </c>
      <c r="B87" s="109" t="s">
        <v>258</v>
      </c>
      <c r="C87" s="37" t="s">
        <v>88</v>
      </c>
      <c r="D87" s="37" t="s">
        <v>501</v>
      </c>
      <c r="E87" s="37" t="s">
        <v>3</v>
      </c>
      <c r="F87" s="4">
        <v>322858.33333333331</v>
      </c>
      <c r="G87" s="4">
        <v>333316.66666666669</v>
      </c>
      <c r="H87" s="4">
        <v>337608.33333333331</v>
      </c>
      <c r="I87" s="4">
        <v>331733.33333333331</v>
      </c>
      <c r="J87" s="4">
        <v>319733.33333333331</v>
      </c>
      <c r="K87" s="4">
        <v>305916.66666666669</v>
      </c>
      <c r="L87" s="4">
        <v>293158.33333333331</v>
      </c>
      <c r="M87" s="4">
        <v>288583.33333333331</v>
      </c>
      <c r="N87" s="4">
        <v>291700</v>
      </c>
      <c r="O87" s="4">
        <v>294183.33333333331</v>
      </c>
      <c r="P87" s="4">
        <v>293041.66666666669</v>
      </c>
      <c r="Q87" s="4">
        <v>295766.66666666669</v>
      </c>
      <c r="R87" s="45">
        <f t="shared" si="2"/>
        <v>9.2990189108488556E-3</v>
      </c>
    </row>
    <row r="88" spans="1:18" ht="15" customHeight="1">
      <c r="A88" s="108" t="s">
        <v>596</v>
      </c>
      <c r="B88" s="109" t="s">
        <v>258</v>
      </c>
      <c r="C88" s="37" t="s">
        <v>160</v>
      </c>
      <c r="D88" s="37" t="s">
        <v>501</v>
      </c>
      <c r="E88" s="37" t="s">
        <v>3</v>
      </c>
      <c r="F88" s="4">
        <v>188200</v>
      </c>
      <c r="G88" s="4">
        <v>207516.66666666669</v>
      </c>
      <c r="H88" s="4">
        <v>208833.33333333331</v>
      </c>
      <c r="I88" s="4">
        <v>197600</v>
      </c>
      <c r="J88" s="4">
        <v>185091.66666666669</v>
      </c>
      <c r="K88" s="4">
        <v>181766.66666666669</v>
      </c>
      <c r="L88" s="4">
        <v>170825</v>
      </c>
      <c r="M88" s="4">
        <v>163208.33333333331</v>
      </c>
      <c r="N88" s="4">
        <v>162500</v>
      </c>
      <c r="O88" s="4">
        <v>161675</v>
      </c>
      <c r="P88" s="4">
        <v>161433.33333333331</v>
      </c>
      <c r="Q88" s="4">
        <v>164375</v>
      </c>
      <c r="R88" s="45">
        <f t="shared" si="2"/>
        <v>1.8222176336981331E-2</v>
      </c>
    </row>
    <row r="89" spans="1:18" ht="15" customHeight="1">
      <c r="A89" s="108" t="s">
        <v>597</v>
      </c>
      <c r="B89" s="109" t="s">
        <v>258</v>
      </c>
      <c r="C89" s="37" t="s">
        <v>77</v>
      </c>
      <c r="D89" s="37" t="s">
        <v>501</v>
      </c>
      <c r="E89" s="37" t="s">
        <v>3</v>
      </c>
      <c r="F89" s="4">
        <v>224733.33333333331</v>
      </c>
      <c r="G89" s="4">
        <v>244166.66666666669</v>
      </c>
      <c r="H89" s="4">
        <v>246408.33333333331</v>
      </c>
      <c r="I89" s="4">
        <v>233133.33333333331</v>
      </c>
      <c r="J89" s="4">
        <v>223083.33333333331</v>
      </c>
      <c r="K89" s="4">
        <v>221333.33333333331</v>
      </c>
      <c r="L89" s="4">
        <v>215233.33333333331</v>
      </c>
      <c r="M89" s="4">
        <v>206783.33333333331</v>
      </c>
      <c r="N89" s="4">
        <v>204633.33333333331</v>
      </c>
      <c r="O89" s="4">
        <v>205683.33333333331</v>
      </c>
      <c r="P89" s="4">
        <v>203300</v>
      </c>
      <c r="Q89" s="4">
        <v>203541.66666666669</v>
      </c>
      <c r="R89" s="45">
        <f t="shared" si="2"/>
        <v>1.1887194622070146E-3</v>
      </c>
    </row>
    <row r="90" spans="1:18" ht="15" customHeight="1">
      <c r="A90" s="108" t="s">
        <v>598</v>
      </c>
      <c r="B90" s="109" t="s">
        <v>258</v>
      </c>
      <c r="C90" s="37" t="s">
        <v>9</v>
      </c>
      <c r="D90" s="37" t="s">
        <v>501</v>
      </c>
      <c r="E90" s="37" t="s">
        <v>5</v>
      </c>
      <c r="F90" s="4">
        <v>241700</v>
      </c>
      <c r="G90" s="4">
        <v>252700</v>
      </c>
      <c r="H90" s="4">
        <v>256016.66666666669</v>
      </c>
      <c r="I90" s="4">
        <v>243641.66666666669</v>
      </c>
      <c r="J90" s="4">
        <v>223975</v>
      </c>
      <c r="K90" s="4">
        <v>214250</v>
      </c>
      <c r="L90" s="4">
        <v>199325</v>
      </c>
      <c r="M90" s="4">
        <v>188175</v>
      </c>
      <c r="N90" s="4">
        <v>186641.66666666669</v>
      </c>
      <c r="O90" s="4">
        <v>188508.33333333331</v>
      </c>
      <c r="P90" s="4">
        <v>183908.33333333331</v>
      </c>
      <c r="Q90" s="4">
        <v>186775</v>
      </c>
      <c r="R90" s="45">
        <f t="shared" si="2"/>
        <v>1.5587475644569412E-2</v>
      </c>
    </row>
    <row r="91" spans="1:18" ht="15" customHeight="1">
      <c r="A91" s="108" t="s">
        <v>599</v>
      </c>
      <c r="B91" s="109" t="s">
        <v>258</v>
      </c>
      <c r="C91" s="37" t="s">
        <v>19</v>
      </c>
      <c r="D91" s="37" t="s">
        <v>501</v>
      </c>
      <c r="E91" s="37" t="s">
        <v>13</v>
      </c>
      <c r="F91" s="4">
        <v>273425</v>
      </c>
      <c r="G91" s="4">
        <v>286425</v>
      </c>
      <c r="H91" s="4">
        <v>283650</v>
      </c>
      <c r="I91" s="4">
        <v>265658.33333333331</v>
      </c>
      <c r="J91" s="4">
        <v>252916.66666666669</v>
      </c>
      <c r="K91" s="4">
        <v>235500</v>
      </c>
      <c r="L91" s="4">
        <v>225600</v>
      </c>
      <c r="M91" s="4">
        <v>213633.33333333331</v>
      </c>
      <c r="N91" s="4">
        <v>219183.33333333331</v>
      </c>
      <c r="O91" s="4">
        <v>223183.33333333331</v>
      </c>
      <c r="P91" s="4">
        <v>223516.66666666669</v>
      </c>
      <c r="Q91" s="4">
        <v>224783.33333333331</v>
      </c>
      <c r="R91" s="45">
        <f t="shared" si="2"/>
        <v>5.6669897845050832E-3</v>
      </c>
    </row>
    <row r="92" spans="1:18" ht="15" customHeight="1">
      <c r="A92" s="108" t="s">
        <v>600</v>
      </c>
      <c r="B92" s="109" t="s">
        <v>258</v>
      </c>
      <c r="C92" s="37" t="s">
        <v>151</v>
      </c>
      <c r="D92" s="37" t="s">
        <v>501</v>
      </c>
      <c r="E92" s="37" t="s">
        <v>3</v>
      </c>
      <c r="F92" s="4">
        <v>299466.66666666669</v>
      </c>
      <c r="G92" s="4">
        <v>314316.66666666669</v>
      </c>
      <c r="H92" s="4">
        <v>310358.33333333331</v>
      </c>
      <c r="I92" s="4">
        <v>300725</v>
      </c>
      <c r="J92" s="4">
        <v>298300</v>
      </c>
      <c r="K92" s="4">
        <v>292558.33333333331</v>
      </c>
      <c r="L92" s="4">
        <v>282816.66666666669</v>
      </c>
      <c r="M92" s="4">
        <v>274866.66666666669</v>
      </c>
      <c r="N92" s="4">
        <v>271000</v>
      </c>
      <c r="O92" s="4">
        <v>269408.33333333331</v>
      </c>
      <c r="P92" s="4">
        <v>270275</v>
      </c>
      <c r="Q92" s="4">
        <v>274950</v>
      </c>
      <c r="R92" s="45">
        <f t="shared" si="2"/>
        <v>1.7297197299047266E-2</v>
      </c>
    </row>
    <row r="93" spans="1:18" ht="15" customHeight="1">
      <c r="A93" s="108" t="s">
        <v>601</v>
      </c>
      <c r="B93" s="109" t="s">
        <v>258</v>
      </c>
      <c r="C93" s="37" t="s">
        <v>99</v>
      </c>
      <c r="D93" s="37" t="s">
        <v>501</v>
      </c>
      <c r="E93" s="37" t="s">
        <v>8</v>
      </c>
      <c r="F93" s="4">
        <v>928175</v>
      </c>
      <c r="G93" s="4">
        <v>970416.66666666663</v>
      </c>
      <c r="H93" s="4">
        <v>966708.33333333337</v>
      </c>
      <c r="I93" s="4">
        <v>891250</v>
      </c>
      <c r="J93" s="4">
        <v>820333.33333333337</v>
      </c>
      <c r="K93" s="4">
        <v>779408.33333333337</v>
      </c>
      <c r="L93" s="4">
        <v>777341.66666666663</v>
      </c>
      <c r="M93" s="4">
        <v>755575</v>
      </c>
      <c r="N93" s="4">
        <v>777841.66666666663</v>
      </c>
      <c r="O93" s="4">
        <v>795458.33333333337</v>
      </c>
      <c r="P93" s="4">
        <v>820750</v>
      </c>
      <c r="Q93" s="4">
        <v>809416.66666666663</v>
      </c>
      <c r="R93" s="45">
        <f t="shared" si="2"/>
        <v>-1.380850847801812E-2</v>
      </c>
    </row>
    <row r="94" spans="1:18" ht="15" customHeight="1">
      <c r="A94" s="108" t="s">
        <v>602</v>
      </c>
      <c r="B94" s="109" t="s">
        <v>258</v>
      </c>
      <c r="C94" s="37" t="s">
        <v>38</v>
      </c>
      <c r="D94" s="37" t="s">
        <v>501</v>
      </c>
      <c r="E94" s="37" t="s">
        <v>3</v>
      </c>
      <c r="F94" s="4">
        <v>286391.66666666669</v>
      </c>
      <c r="G94" s="4">
        <v>306625</v>
      </c>
      <c r="H94" s="4">
        <v>310766.66666666669</v>
      </c>
      <c r="I94" s="4">
        <v>297816.66666666669</v>
      </c>
      <c r="J94" s="4">
        <v>275958.33333333331</v>
      </c>
      <c r="K94" s="4">
        <v>262033.33333333331</v>
      </c>
      <c r="L94" s="4">
        <v>249608.33333333331</v>
      </c>
      <c r="M94" s="4">
        <v>239166.66666666669</v>
      </c>
      <c r="N94" s="4">
        <v>241500</v>
      </c>
      <c r="O94" s="4">
        <v>246816.66666666669</v>
      </c>
      <c r="P94" s="4">
        <v>237183.33333333331</v>
      </c>
      <c r="Q94" s="4">
        <v>238116.66666666669</v>
      </c>
      <c r="R94" s="45">
        <f t="shared" si="2"/>
        <v>3.9350713231678961E-3</v>
      </c>
    </row>
    <row r="95" spans="1:18" ht="15" customHeight="1">
      <c r="A95" s="108" t="s">
        <v>603</v>
      </c>
      <c r="B95" s="109" t="s">
        <v>258</v>
      </c>
      <c r="C95" s="37" t="s">
        <v>604</v>
      </c>
      <c r="D95" s="37" t="s">
        <v>501</v>
      </c>
      <c r="E95" s="37" t="s">
        <v>3</v>
      </c>
      <c r="F95" s="4">
        <v>263075</v>
      </c>
      <c r="G95" s="4">
        <v>274558.33333333331</v>
      </c>
      <c r="H95" s="4">
        <v>273191.66666666669</v>
      </c>
      <c r="I95" s="4">
        <v>264441.66666666669</v>
      </c>
      <c r="J95" s="4">
        <v>252325</v>
      </c>
      <c r="K95" s="4">
        <v>249525</v>
      </c>
      <c r="L95" s="4">
        <v>239316.66666666669</v>
      </c>
      <c r="M95" s="4">
        <v>237208.33333333331</v>
      </c>
      <c r="N95" s="4">
        <v>243675</v>
      </c>
      <c r="O95" s="4">
        <v>241633.33333333331</v>
      </c>
      <c r="P95" s="4">
        <v>242791.66666666669</v>
      </c>
      <c r="Q95" s="4">
        <v>245350</v>
      </c>
      <c r="R95" s="45">
        <f t="shared" si="2"/>
        <v>1.0537154625021371E-2</v>
      </c>
    </row>
    <row r="96" spans="1:18" ht="15" customHeight="1">
      <c r="A96" s="108" t="s">
        <v>605</v>
      </c>
      <c r="B96" s="109" t="s">
        <v>258</v>
      </c>
      <c r="C96" s="37" t="s">
        <v>98</v>
      </c>
      <c r="D96" s="37" t="s">
        <v>501</v>
      </c>
      <c r="E96" s="37" t="s">
        <v>32</v>
      </c>
      <c r="F96" s="4">
        <v>356541.66666666669</v>
      </c>
      <c r="G96" s="4">
        <v>368300</v>
      </c>
      <c r="H96" s="4">
        <v>364425</v>
      </c>
      <c r="I96" s="4">
        <v>348850</v>
      </c>
      <c r="J96" s="4">
        <v>320616.66666666669</v>
      </c>
      <c r="K96" s="4">
        <v>317333.33333333331</v>
      </c>
      <c r="L96" s="4">
        <v>313033.33333333331</v>
      </c>
      <c r="M96" s="4">
        <v>296725</v>
      </c>
      <c r="N96" s="4">
        <v>306783.33333333331</v>
      </c>
      <c r="O96" s="4">
        <v>296791.66666666669</v>
      </c>
      <c r="P96" s="4">
        <v>299775</v>
      </c>
      <c r="Q96" s="4">
        <v>305650</v>
      </c>
      <c r="R96" s="45">
        <f t="shared" si="2"/>
        <v>1.9598031857226254E-2</v>
      </c>
    </row>
    <row r="97" spans="1:18" ht="15" customHeight="1">
      <c r="A97" s="108" t="s">
        <v>606</v>
      </c>
      <c r="B97" s="109" t="s">
        <v>258</v>
      </c>
      <c r="C97" s="37" t="s">
        <v>607</v>
      </c>
      <c r="D97" s="37" t="s">
        <v>501</v>
      </c>
      <c r="E97" s="37" t="s">
        <v>8</v>
      </c>
      <c r="F97" s="4">
        <v>450466.66666666669</v>
      </c>
      <c r="G97" s="4">
        <v>460050</v>
      </c>
      <c r="H97" s="4">
        <v>442008.33333333331</v>
      </c>
      <c r="I97" s="4">
        <v>408958.33333333331</v>
      </c>
      <c r="J97" s="4">
        <v>374466.66666666669</v>
      </c>
      <c r="K97" s="4">
        <v>351475</v>
      </c>
      <c r="L97" s="4">
        <v>342266.66666666669</v>
      </c>
      <c r="M97" s="4">
        <v>323858.33333333331</v>
      </c>
      <c r="N97" s="4">
        <v>327825</v>
      </c>
      <c r="O97" s="4">
        <v>336350</v>
      </c>
      <c r="P97" s="4">
        <v>334841.66666666669</v>
      </c>
      <c r="Q97" s="4">
        <v>339800</v>
      </c>
      <c r="R97" s="45">
        <f t="shared" si="2"/>
        <v>1.4807993827928564E-2</v>
      </c>
    </row>
    <row r="98" spans="1:18" ht="15" customHeight="1">
      <c r="A98" s="108" t="s">
        <v>608</v>
      </c>
      <c r="B98" s="109" t="s">
        <v>258</v>
      </c>
      <c r="C98" s="37" t="s">
        <v>156</v>
      </c>
      <c r="D98" s="37" t="s">
        <v>501</v>
      </c>
      <c r="E98" s="37" t="s">
        <v>510</v>
      </c>
      <c r="F98" s="4">
        <v>197958.33333333331</v>
      </c>
      <c r="G98" s="4">
        <v>214216.66666666669</v>
      </c>
      <c r="H98" s="4">
        <v>211708.33333333331</v>
      </c>
      <c r="I98" s="4">
        <v>192483.33333333331</v>
      </c>
      <c r="J98" s="4">
        <v>181441.66666666669</v>
      </c>
      <c r="K98" s="4">
        <v>165725</v>
      </c>
      <c r="L98" s="4">
        <v>153516.66666666669</v>
      </c>
      <c r="M98" s="4">
        <v>150550</v>
      </c>
      <c r="N98" s="4">
        <v>152691.66666666669</v>
      </c>
      <c r="O98" s="4">
        <v>151750</v>
      </c>
      <c r="P98" s="4">
        <v>157241.66666666669</v>
      </c>
      <c r="Q98" s="4">
        <v>161358.33333333331</v>
      </c>
      <c r="R98" s="45">
        <f t="shared" si="2"/>
        <v>2.618050771106022E-2</v>
      </c>
    </row>
    <row r="99" spans="1:18" ht="15" customHeight="1">
      <c r="A99" s="108" t="s">
        <v>609</v>
      </c>
      <c r="B99" s="109" t="s">
        <v>258</v>
      </c>
      <c r="C99" s="37" t="s">
        <v>29</v>
      </c>
      <c r="D99" s="37" t="s">
        <v>501</v>
      </c>
      <c r="E99" s="37" t="s">
        <v>5</v>
      </c>
      <c r="F99" s="4">
        <v>290366.66666666669</v>
      </c>
      <c r="G99" s="4">
        <v>298050</v>
      </c>
      <c r="H99" s="4">
        <v>300166.66666666669</v>
      </c>
      <c r="I99" s="4">
        <v>295483.33333333331</v>
      </c>
      <c r="J99" s="4">
        <v>270025</v>
      </c>
      <c r="K99" s="4">
        <v>273325</v>
      </c>
      <c r="L99" s="4">
        <v>263033.33333333331</v>
      </c>
      <c r="M99" s="4">
        <v>258966.66666666669</v>
      </c>
      <c r="N99" s="4">
        <v>262441.66666666669</v>
      </c>
      <c r="O99" s="4">
        <v>268200</v>
      </c>
      <c r="P99" s="4">
        <v>267566.66666666669</v>
      </c>
      <c r="Q99" s="4">
        <v>274175</v>
      </c>
      <c r="R99" s="45">
        <f t="shared" ref="R99:R130" si="3">(Q99-P99)/P99</f>
        <v>2.4697894605705668E-2</v>
      </c>
    </row>
    <row r="100" spans="1:18" ht="15" customHeight="1">
      <c r="A100" s="108" t="s">
        <v>610</v>
      </c>
      <c r="B100" s="109" t="s">
        <v>258</v>
      </c>
      <c r="C100" s="37" t="s">
        <v>123</v>
      </c>
      <c r="D100" s="37" t="s">
        <v>501</v>
      </c>
      <c r="E100" s="37" t="s">
        <v>3</v>
      </c>
      <c r="F100" s="4">
        <v>315050</v>
      </c>
      <c r="G100" s="4">
        <v>326600</v>
      </c>
      <c r="H100" s="4">
        <v>328425</v>
      </c>
      <c r="I100" s="4">
        <v>320000</v>
      </c>
      <c r="J100" s="4">
        <v>313100</v>
      </c>
      <c r="K100" s="4">
        <v>312233.33333333331</v>
      </c>
      <c r="L100" s="4">
        <v>299408.33333333331</v>
      </c>
      <c r="M100" s="4">
        <v>295650</v>
      </c>
      <c r="N100" s="4">
        <v>298333.33333333331</v>
      </c>
      <c r="O100" s="4">
        <v>302991.66666666669</v>
      </c>
      <c r="P100" s="4">
        <v>296666.66666666669</v>
      </c>
      <c r="Q100" s="4">
        <v>302033.33333333331</v>
      </c>
      <c r="R100" s="45">
        <f t="shared" si="3"/>
        <v>1.8089887640449307E-2</v>
      </c>
    </row>
    <row r="101" spans="1:18" ht="15" customHeight="1">
      <c r="A101" s="108" t="s">
        <v>611</v>
      </c>
      <c r="B101" s="109" t="s">
        <v>258</v>
      </c>
      <c r="C101" s="37" t="s">
        <v>66</v>
      </c>
      <c r="D101" s="37" t="s">
        <v>501</v>
      </c>
      <c r="E101" s="37" t="s">
        <v>5</v>
      </c>
      <c r="F101" s="4">
        <v>463966.66666666669</v>
      </c>
      <c r="G101" s="4">
        <v>469458.33333333331</v>
      </c>
      <c r="H101" s="4">
        <v>472700</v>
      </c>
      <c r="I101" s="4">
        <v>460275</v>
      </c>
      <c r="J101" s="4">
        <v>421800</v>
      </c>
      <c r="K101" s="4">
        <v>422183.33333333331</v>
      </c>
      <c r="L101" s="4">
        <v>400075</v>
      </c>
      <c r="M101" s="4">
        <v>386391.66666666669</v>
      </c>
      <c r="N101" s="4">
        <v>388483.33333333331</v>
      </c>
      <c r="O101" s="4">
        <v>386483.33333333331</v>
      </c>
      <c r="P101" s="4">
        <v>389241.66666666669</v>
      </c>
      <c r="Q101" s="4">
        <v>391025</v>
      </c>
      <c r="R101" s="45">
        <f t="shared" si="3"/>
        <v>4.5815581579566602E-3</v>
      </c>
    </row>
    <row r="102" spans="1:18" ht="15" customHeight="1">
      <c r="A102" s="108" t="s">
        <v>612</v>
      </c>
      <c r="B102" s="109" t="s">
        <v>258</v>
      </c>
      <c r="C102" s="37" t="s">
        <v>613</v>
      </c>
      <c r="D102" s="37" t="s">
        <v>501</v>
      </c>
      <c r="E102" s="37" t="s">
        <v>13</v>
      </c>
      <c r="F102" s="4">
        <v>236966.66666666669</v>
      </c>
      <c r="G102" s="4">
        <v>259100</v>
      </c>
      <c r="H102" s="4">
        <v>249500</v>
      </c>
      <c r="I102" s="4">
        <v>241583.33333333331</v>
      </c>
      <c r="J102" s="4">
        <v>226900</v>
      </c>
      <c r="K102" s="4">
        <v>225900</v>
      </c>
      <c r="L102" s="4">
        <v>214608.33333333331</v>
      </c>
      <c r="M102" s="4">
        <v>199883.33333333331</v>
      </c>
      <c r="N102" s="4">
        <v>199225</v>
      </c>
      <c r="O102" s="4">
        <v>203650</v>
      </c>
      <c r="P102" s="4">
        <v>202491.66666666669</v>
      </c>
      <c r="Q102" s="4">
        <v>214416.66666666669</v>
      </c>
      <c r="R102" s="45">
        <f t="shared" si="3"/>
        <v>5.8891312399687222E-2</v>
      </c>
    </row>
    <row r="103" spans="1:18" ht="15" customHeight="1">
      <c r="A103" s="108" t="s">
        <v>614</v>
      </c>
      <c r="B103" s="109" t="s">
        <v>258</v>
      </c>
      <c r="C103" s="37" t="s">
        <v>71</v>
      </c>
      <c r="D103" s="37" t="s">
        <v>501</v>
      </c>
      <c r="E103" s="37" t="s">
        <v>13</v>
      </c>
      <c r="F103" s="4">
        <v>229300</v>
      </c>
      <c r="G103" s="4">
        <v>244650</v>
      </c>
      <c r="H103" s="4">
        <v>237600</v>
      </c>
      <c r="I103" s="4">
        <v>220425</v>
      </c>
      <c r="J103" s="4">
        <v>211775</v>
      </c>
      <c r="K103" s="4">
        <v>213075</v>
      </c>
      <c r="L103" s="4">
        <v>200766.66666666669</v>
      </c>
      <c r="M103" s="4">
        <v>185666.66666666669</v>
      </c>
      <c r="N103" s="4">
        <v>183358.33333333331</v>
      </c>
      <c r="O103" s="4">
        <v>181033.33333333331</v>
      </c>
      <c r="P103" s="4">
        <v>185191.66666666669</v>
      </c>
      <c r="Q103" s="4">
        <v>186050</v>
      </c>
      <c r="R103" s="45">
        <f t="shared" si="3"/>
        <v>4.6348377806775714E-3</v>
      </c>
    </row>
    <row r="104" spans="1:18" ht="15" customHeight="1">
      <c r="A104" s="108" t="s">
        <v>615</v>
      </c>
      <c r="B104" s="109" t="s">
        <v>258</v>
      </c>
      <c r="C104" s="37" t="s">
        <v>616</v>
      </c>
      <c r="D104" s="37" t="s">
        <v>501</v>
      </c>
      <c r="E104" s="37" t="s">
        <v>32</v>
      </c>
      <c r="F104" s="4">
        <v>334033.33333333331</v>
      </c>
      <c r="G104" s="4">
        <v>335808.33333333331</v>
      </c>
      <c r="H104" s="4">
        <v>352625</v>
      </c>
      <c r="I104" s="4">
        <v>341658.33333333331</v>
      </c>
      <c r="J104" s="4">
        <v>312033.33333333331</v>
      </c>
      <c r="K104" s="4">
        <v>303325</v>
      </c>
      <c r="L104" s="4">
        <v>293500</v>
      </c>
      <c r="M104" s="4">
        <v>278900</v>
      </c>
      <c r="N104" s="4">
        <v>285958.33333333331</v>
      </c>
      <c r="O104" s="4">
        <v>285108.33333333331</v>
      </c>
      <c r="P104" s="4">
        <v>290083.33333333331</v>
      </c>
      <c r="Q104" s="4">
        <v>286850</v>
      </c>
      <c r="R104" s="45">
        <f t="shared" si="3"/>
        <v>-1.1146222349899388E-2</v>
      </c>
    </row>
    <row r="105" spans="1:18" ht="15" customHeight="1">
      <c r="A105" s="108" t="s">
        <v>617</v>
      </c>
      <c r="B105" s="109" t="s">
        <v>258</v>
      </c>
      <c r="C105" s="37" t="s">
        <v>23</v>
      </c>
      <c r="D105" s="37" t="s">
        <v>501</v>
      </c>
      <c r="E105" s="37" t="s">
        <v>510</v>
      </c>
      <c r="F105" s="4">
        <v>236083.33333333331</v>
      </c>
      <c r="G105" s="4">
        <v>245325</v>
      </c>
      <c r="H105" s="4">
        <v>245583.33333333331</v>
      </c>
      <c r="I105" s="4">
        <v>224783.33333333331</v>
      </c>
      <c r="J105" s="4">
        <v>209241.66666666669</v>
      </c>
      <c r="K105" s="4">
        <v>201416.66666666669</v>
      </c>
      <c r="L105" s="4">
        <v>195108.33333333331</v>
      </c>
      <c r="M105" s="4">
        <v>187183.33333333331</v>
      </c>
      <c r="N105" s="4">
        <v>189958.33333333331</v>
      </c>
      <c r="O105" s="4">
        <v>193091.66666666669</v>
      </c>
      <c r="P105" s="4">
        <v>193616.66666666669</v>
      </c>
      <c r="Q105" s="4">
        <v>202766.66666666669</v>
      </c>
      <c r="R105" s="45">
        <f t="shared" si="3"/>
        <v>4.7258328311956609E-2</v>
      </c>
    </row>
    <row r="106" spans="1:18" ht="15" customHeight="1">
      <c r="A106" s="108" t="s">
        <v>618</v>
      </c>
      <c r="B106" s="109" t="s">
        <v>258</v>
      </c>
      <c r="C106" s="37" t="s">
        <v>33</v>
      </c>
      <c r="D106" s="37" t="s">
        <v>501</v>
      </c>
      <c r="E106" s="37" t="s">
        <v>3</v>
      </c>
      <c r="F106" s="4">
        <v>397958.33333333331</v>
      </c>
      <c r="G106" s="4">
        <v>418150</v>
      </c>
      <c r="H106" s="4">
        <v>409416.66666666669</v>
      </c>
      <c r="I106" s="4">
        <v>394150</v>
      </c>
      <c r="J106" s="4">
        <v>389041.66666666669</v>
      </c>
      <c r="K106" s="4">
        <v>355250</v>
      </c>
      <c r="L106" s="4">
        <v>351208.33333333331</v>
      </c>
      <c r="M106" s="4">
        <v>346508.33333333331</v>
      </c>
      <c r="N106" s="4">
        <v>351441.66666666669</v>
      </c>
      <c r="O106" s="4">
        <v>353358.33333333331</v>
      </c>
      <c r="P106" s="4">
        <v>353558.33333333331</v>
      </c>
      <c r="Q106" s="4">
        <v>360733.33333333331</v>
      </c>
      <c r="R106" s="45">
        <f t="shared" si="3"/>
        <v>2.0293680910740804E-2</v>
      </c>
    </row>
    <row r="107" spans="1:18" ht="15" customHeight="1">
      <c r="A107" s="108" t="s">
        <v>619</v>
      </c>
      <c r="B107" s="109" t="s">
        <v>258</v>
      </c>
      <c r="C107" s="37" t="s">
        <v>162</v>
      </c>
      <c r="D107" s="37" t="s">
        <v>501</v>
      </c>
      <c r="E107" s="37" t="s">
        <v>13</v>
      </c>
      <c r="F107" s="4">
        <v>392091.66666666669</v>
      </c>
      <c r="G107" s="4">
        <v>418450</v>
      </c>
      <c r="H107" s="4">
        <v>411008.33333333331</v>
      </c>
      <c r="I107" s="4">
        <v>378525</v>
      </c>
      <c r="J107" s="4">
        <v>379516.66666666669</v>
      </c>
      <c r="K107" s="4">
        <v>361841.66666666669</v>
      </c>
      <c r="L107" s="4">
        <v>359291.66666666669</v>
      </c>
      <c r="M107" s="4">
        <v>339375</v>
      </c>
      <c r="N107" s="4">
        <v>345108.33333333331</v>
      </c>
      <c r="O107" s="4">
        <v>353033.33333333331</v>
      </c>
      <c r="P107" s="4">
        <v>346558.33333333331</v>
      </c>
      <c r="Q107" s="4">
        <v>357216.66666666669</v>
      </c>
      <c r="R107" s="45">
        <f t="shared" si="3"/>
        <v>3.0754803183687323E-2</v>
      </c>
    </row>
    <row r="108" spans="1:18" ht="15" customHeight="1">
      <c r="A108" s="108" t="s">
        <v>620</v>
      </c>
      <c r="B108" s="109" t="s">
        <v>258</v>
      </c>
      <c r="C108" s="37" t="s">
        <v>72</v>
      </c>
      <c r="D108" s="37" t="s">
        <v>501</v>
      </c>
      <c r="E108" s="37" t="s">
        <v>5</v>
      </c>
      <c r="F108" s="4">
        <v>341200</v>
      </c>
      <c r="G108" s="4">
        <v>360200</v>
      </c>
      <c r="H108" s="4">
        <v>360825</v>
      </c>
      <c r="I108" s="4">
        <v>346033.33333333331</v>
      </c>
      <c r="J108" s="4">
        <v>310883.33333333331</v>
      </c>
      <c r="K108" s="4">
        <v>310016.66666666669</v>
      </c>
      <c r="L108" s="4">
        <v>296858.33333333331</v>
      </c>
      <c r="M108" s="4">
        <v>286583.33333333331</v>
      </c>
      <c r="N108" s="4">
        <v>296791.66666666669</v>
      </c>
      <c r="O108" s="4">
        <v>301858.33333333331</v>
      </c>
      <c r="P108" s="4">
        <v>306233.33333333331</v>
      </c>
      <c r="Q108" s="4">
        <v>301583.33333333331</v>
      </c>
      <c r="R108" s="45">
        <f t="shared" si="3"/>
        <v>-1.5184499836725809E-2</v>
      </c>
    </row>
    <row r="109" spans="1:18" ht="15" customHeight="1">
      <c r="A109" s="108" t="s">
        <v>621</v>
      </c>
      <c r="B109" s="109" t="s">
        <v>258</v>
      </c>
      <c r="C109" s="37" t="s">
        <v>75</v>
      </c>
      <c r="D109" s="37" t="s">
        <v>501</v>
      </c>
      <c r="E109" s="37" t="s">
        <v>8</v>
      </c>
      <c r="F109" s="4">
        <v>696016.66666666663</v>
      </c>
      <c r="G109" s="4">
        <v>724225</v>
      </c>
      <c r="H109" s="4">
        <v>706016.66666666663</v>
      </c>
      <c r="I109" s="4">
        <v>659825</v>
      </c>
      <c r="J109" s="4">
        <v>601250</v>
      </c>
      <c r="K109" s="4">
        <v>621091.66666666663</v>
      </c>
      <c r="L109" s="4">
        <v>600008.33333333337</v>
      </c>
      <c r="M109" s="4">
        <v>588958.33333333337</v>
      </c>
      <c r="N109" s="4">
        <v>614316.66666666663</v>
      </c>
      <c r="O109" s="4">
        <v>605550</v>
      </c>
      <c r="P109" s="4">
        <v>607791.66666666663</v>
      </c>
      <c r="Q109" s="4">
        <v>595541.66666666663</v>
      </c>
      <c r="R109" s="45">
        <f t="shared" si="3"/>
        <v>-2.0154932474120795E-2</v>
      </c>
    </row>
    <row r="110" spans="1:18" ht="15" customHeight="1">
      <c r="A110" s="108" t="s">
        <v>622</v>
      </c>
      <c r="B110" s="109" t="s">
        <v>258</v>
      </c>
      <c r="C110" s="37" t="s">
        <v>623</v>
      </c>
      <c r="D110" s="37" t="s">
        <v>501</v>
      </c>
      <c r="E110" s="37" t="s">
        <v>3</v>
      </c>
      <c r="F110" s="4">
        <v>250033.33333333331</v>
      </c>
      <c r="G110" s="4">
        <v>261091.66666666669</v>
      </c>
      <c r="H110" s="4">
        <v>258316.66666666669</v>
      </c>
      <c r="I110" s="4">
        <v>254791.66666666669</v>
      </c>
      <c r="J110" s="4">
        <v>243916.66666666669</v>
      </c>
      <c r="K110" s="4">
        <v>237016.66666666669</v>
      </c>
      <c r="L110" s="4">
        <v>228166.66666666669</v>
      </c>
      <c r="M110" s="4">
        <v>227716.66666666669</v>
      </c>
      <c r="N110" s="4">
        <v>225075</v>
      </c>
      <c r="O110" s="4">
        <v>229191.66666666669</v>
      </c>
      <c r="P110" s="4">
        <v>226925</v>
      </c>
      <c r="Q110" s="4">
        <v>229050</v>
      </c>
      <c r="R110" s="45">
        <f t="shared" si="3"/>
        <v>9.3643274209540602E-3</v>
      </c>
    </row>
    <row r="111" spans="1:18" ht="15" customHeight="1">
      <c r="A111" s="108" t="s">
        <v>624</v>
      </c>
      <c r="B111" s="109" t="s">
        <v>258</v>
      </c>
      <c r="C111" s="37" t="s">
        <v>63</v>
      </c>
      <c r="D111" s="37" t="s">
        <v>501</v>
      </c>
      <c r="E111" s="37" t="s">
        <v>5</v>
      </c>
      <c r="F111" s="4">
        <v>283250</v>
      </c>
      <c r="G111" s="4">
        <v>303591.66666666669</v>
      </c>
      <c r="H111" s="4">
        <v>285966.66666666669</v>
      </c>
      <c r="I111" s="4">
        <v>276108.33333333331</v>
      </c>
      <c r="J111" s="4">
        <v>252783.33333333331</v>
      </c>
      <c r="K111" s="4">
        <v>253758.33333333331</v>
      </c>
      <c r="L111" s="4">
        <v>242633.33333333331</v>
      </c>
      <c r="M111" s="4">
        <v>236975</v>
      </c>
      <c r="N111" s="4">
        <v>242516.66666666669</v>
      </c>
      <c r="O111" s="4">
        <v>239291.66666666669</v>
      </c>
      <c r="P111" s="4">
        <v>239800</v>
      </c>
      <c r="Q111" s="4">
        <v>239558.33333333331</v>
      </c>
      <c r="R111" s="45">
        <f t="shared" si="3"/>
        <v>-1.0077842646650794E-3</v>
      </c>
    </row>
    <row r="112" spans="1:18" ht="15" customHeight="1">
      <c r="A112" s="108" t="s">
        <v>625</v>
      </c>
      <c r="B112" s="109" t="s">
        <v>258</v>
      </c>
      <c r="C112" s="37" t="s">
        <v>73</v>
      </c>
      <c r="D112" s="37" t="s">
        <v>501</v>
      </c>
      <c r="E112" s="37" t="s">
        <v>3</v>
      </c>
      <c r="F112" s="4">
        <v>334450</v>
      </c>
      <c r="G112" s="4">
        <v>334716.66666666669</v>
      </c>
      <c r="H112" s="4">
        <v>329108.33333333331</v>
      </c>
      <c r="I112" s="4">
        <v>323650</v>
      </c>
      <c r="J112" s="4">
        <v>322458.33333333331</v>
      </c>
      <c r="K112" s="4">
        <v>306666.66666666669</v>
      </c>
      <c r="L112" s="4">
        <v>289141.66666666669</v>
      </c>
      <c r="M112" s="4">
        <v>284191.66666666669</v>
      </c>
      <c r="N112" s="4">
        <v>283633.33333333331</v>
      </c>
      <c r="O112" s="4">
        <v>295575</v>
      </c>
      <c r="P112" s="4">
        <v>285166.66666666669</v>
      </c>
      <c r="Q112" s="4">
        <v>286608.33333333331</v>
      </c>
      <c r="R112" s="45">
        <f t="shared" si="3"/>
        <v>5.0555230859145334E-3</v>
      </c>
    </row>
    <row r="113" spans="1:18" ht="15" customHeight="1">
      <c r="A113" s="108" t="s">
        <v>626</v>
      </c>
      <c r="B113" s="109" t="s">
        <v>258</v>
      </c>
      <c r="C113" s="37" t="s">
        <v>144</v>
      </c>
      <c r="D113" s="37" t="s">
        <v>501</v>
      </c>
      <c r="E113" s="37" t="s">
        <v>13</v>
      </c>
      <c r="F113" s="4">
        <v>248575</v>
      </c>
      <c r="G113" s="4">
        <v>258225</v>
      </c>
      <c r="H113" s="4">
        <v>258158.33333333331</v>
      </c>
      <c r="I113" s="4">
        <v>251708.33333333331</v>
      </c>
      <c r="J113" s="4">
        <v>231416.66666666669</v>
      </c>
      <c r="K113" s="4">
        <v>231166.66666666669</v>
      </c>
      <c r="L113" s="4">
        <v>223675</v>
      </c>
      <c r="M113" s="4">
        <v>207000</v>
      </c>
      <c r="N113" s="4">
        <v>214325</v>
      </c>
      <c r="O113" s="4">
        <v>219916.66666666669</v>
      </c>
      <c r="P113" s="4">
        <v>213216.66666666669</v>
      </c>
      <c r="Q113" s="4">
        <v>213791.66666666669</v>
      </c>
      <c r="R113" s="45">
        <f t="shared" si="3"/>
        <v>2.6967873055577267E-3</v>
      </c>
    </row>
    <row r="114" spans="1:18" ht="15" customHeight="1">
      <c r="A114" s="108" t="s">
        <v>627</v>
      </c>
      <c r="B114" s="109" t="s">
        <v>258</v>
      </c>
      <c r="C114" s="37" t="s">
        <v>56</v>
      </c>
      <c r="D114" s="37" t="s">
        <v>501</v>
      </c>
      <c r="E114" s="37" t="s">
        <v>3</v>
      </c>
      <c r="F114" s="4">
        <v>276041.66666666669</v>
      </c>
      <c r="G114" s="4">
        <v>284041.66666666669</v>
      </c>
      <c r="H114" s="4">
        <v>288650</v>
      </c>
      <c r="I114" s="4">
        <v>277708.33333333331</v>
      </c>
      <c r="J114" s="4">
        <v>265716.66666666669</v>
      </c>
      <c r="K114" s="4">
        <v>260350</v>
      </c>
      <c r="L114" s="4">
        <v>251416.66666666669</v>
      </c>
      <c r="M114" s="4">
        <v>243558.33333333331</v>
      </c>
      <c r="N114" s="4">
        <v>247425</v>
      </c>
      <c r="O114" s="4">
        <v>244475</v>
      </c>
      <c r="P114" s="4">
        <v>250225</v>
      </c>
      <c r="Q114" s="4">
        <v>252816.66666666669</v>
      </c>
      <c r="R114" s="45">
        <f t="shared" si="3"/>
        <v>1.0357345056116239E-2</v>
      </c>
    </row>
    <row r="115" spans="1:18" ht="15" customHeight="1">
      <c r="A115" s="108" t="s">
        <v>628</v>
      </c>
      <c r="B115" s="109" t="s">
        <v>258</v>
      </c>
      <c r="C115" s="37" t="s">
        <v>20</v>
      </c>
      <c r="D115" s="37" t="s">
        <v>501</v>
      </c>
      <c r="E115" s="37" t="s">
        <v>13</v>
      </c>
      <c r="F115" s="4">
        <v>357466.66666666669</v>
      </c>
      <c r="G115" s="4">
        <v>361166.66666666669</v>
      </c>
      <c r="H115" s="4">
        <v>358158.33333333331</v>
      </c>
      <c r="I115" s="4">
        <v>347750</v>
      </c>
      <c r="J115" s="4">
        <v>311125</v>
      </c>
      <c r="K115" s="4">
        <v>308866.66666666669</v>
      </c>
      <c r="L115" s="4">
        <v>296808.33333333331</v>
      </c>
      <c r="M115" s="4">
        <v>281025</v>
      </c>
      <c r="N115" s="4">
        <v>283316.66666666669</v>
      </c>
      <c r="O115" s="4">
        <v>288666.66666666669</v>
      </c>
      <c r="P115" s="4">
        <v>294575</v>
      </c>
      <c r="Q115" s="4">
        <v>303483.33333333331</v>
      </c>
      <c r="R115" s="45">
        <f t="shared" si="3"/>
        <v>3.0241308099238952E-2</v>
      </c>
    </row>
    <row r="116" spans="1:18" ht="15" customHeight="1">
      <c r="A116" s="108" t="s">
        <v>629</v>
      </c>
      <c r="B116" s="109" t="s">
        <v>258</v>
      </c>
      <c r="C116" s="37" t="s">
        <v>114</v>
      </c>
      <c r="D116" s="37" t="s">
        <v>501</v>
      </c>
      <c r="E116" s="37" t="s">
        <v>510</v>
      </c>
      <c r="F116" s="4">
        <v>265441.66666666669</v>
      </c>
      <c r="G116" s="4">
        <v>269191.66666666669</v>
      </c>
      <c r="H116" s="4">
        <v>264475</v>
      </c>
      <c r="I116" s="4">
        <v>250250</v>
      </c>
      <c r="J116" s="4">
        <v>241200</v>
      </c>
      <c r="K116" s="4">
        <v>225575</v>
      </c>
      <c r="L116" s="4">
        <v>217058.33333333331</v>
      </c>
      <c r="M116" s="4">
        <v>208608.33333333331</v>
      </c>
      <c r="N116" s="4">
        <v>212008.33333333331</v>
      </c>
      <c r="O116" s="4">
        <v>219941.66666666669</v>
      </c>
      <c r="P116" s="4">
        <v>219175</v>
      </c>
      <c r="Q116" s="4">
        <v>230316.66666666669</v>
      </c>
      <c r="R116" s="45">
        <f t="shared" si="3"/>
        <v>5.0834569027793708E-2</v>
      </c>
    </row>
    <row r="117" spans="1:18" ht="15" customHeight="1">
      <c r="A117" s="108" t="s">
        <v>630</v>
      </c>
      <c r="B117" s="109" t="s">
        <v>258</v>
      </c>
      <c r="C117" s="37" t="s">
        <v>631</v>
      </c>
      <c r="D117" s="37" t="s">
        <v>501</v>
      </c>
      <c r="E117" s="37" t="s">
        <v>13</v>
      </c>
      <c r="F117" s="4">
        <v>296775</v>
      </c>
      <c r="G117" s="4">
        <v>306416.66666666669</v>
      </c>
      <c r="H117" s="4">
        <v>304466.66666666669</v>
      </c>
      <c r="I117" s="4">
        <v>290166.66666666669</v>
      </c>
      <c r="J117" s="4">
        <v>274233.33333333331</v>
      </c>
      <c r="K117" s="4">
        <v>264175</v>
      </c>
      <c r="L117" s="4">
        <v>258341.66666666669</v>
      </c>
      <c r="M117" s="4">
        <v>240266.66666666669</v>
      </c>
      <c r="N117" s="4">
        <v>241550</v>
      </c>
      <c r="O117" s="4">
        <v>247816.66666666669</v>
      </c>
      <c r="P117" s="4">
        <v>251175</v>
      </c>
      <c r="Q117" s="4">
        <v>256558.33333333331</v>
      </c>
      <c r="R117" s="45">
        <f t="shared" si="3"/>
        <v>2.1432600112803082E-2</v>
      </c>
    </row>
    <row r="118" spans="1:18" ht="15" customHeight="1">
      <c r="A118" s="108" t="s">
        <v>632</v>
      </c>
      <c r="B118" s="109" t="s">
        <v>258</v>
      </c>
      <c r="C118" s="37" t="s">
        <v>633</v>
      </c>
      <c r="D118" s="37" t="s">
        <v>501</v>
      </c>
      <c r="E118" s="37" t="s">
        <v>32</v>
      </c>
      <c r="F118" s="4">
        <v>170175</v>
      </c>
      <c r="G118" s="4">
        <v>177100</v>
      </c>
      <c r="H118" s="4">
        <v>184233.33333333331</v>
      </c>
      <c r="I118" s="4">
        <v>176083.33333333331</v>
      </c>
      <c r="J118" s="4">
        <v>165516.66666666669</v>
      </c>
      <c r="K118" s="4">
        <v>156533.33333333331</v>
      </c>
      <c r="L118" s="4">
        <v>146808.33333333331</v>
      </c>
      <c r="M118" s="4">
        <v>135183.33333333331</v>
      </c>
      <c r="N118" s="4">
        <v>139958.33333333331</v>
      </c>
      <c r="O118" s="4">
        <v>135008.33333333331</v>
      </c>
      <c r="P118" s="4">
        <v>132600</v>
      </c>
      <c r="Q118" s="4">
        <v>138408.33333333331</v>
      </c>
      <c r="R118" s="45">
        <f t="shared" si="3"/>
        <v>4.3803418803418655E-2</v>
      </c>
    </row>
    <row r="119" spans="1:18" ht="15" customHeight="1">
      <c r="A119" s="108" t="s">
        <v>634</v>
      </c>
      <c r="B119" s="109" t="s">
        <v>258</v>
      </c>
      <c r="C119" s="37" t="s">
        <v>82</v>
      </c>
      <c r="D119" s="37" t="s">
        <v>501</v>
      </c>
      <c r="E119" s="37" t="s">
        <v>3</v>
      </c>
      <c r="F119" s="4">
        <v>271633.33333333331</v>
      </c>
      <c r="G119" s="4">
        <v>283008.33333333331</v>
      </c>
      <c r="H119" s="4">
        <v>286683.33333333331</v>
      </c>
      <c r="I119" s="4">
        <v>283516.66666666669</v>
      </c>
      <c r="J119" s="4">
        <v>267633.33333333331</v>
      </c>
      <c r="K119" s="4">
        <v>252733.33333333331</v>
      </c>
      <c r="L119" s="4">
        <v>235358.33333333331</v>
      </c>
      <c r="M119" s="4">
        <v>228950</v>
      </c>
      <c r="N119" s="4">
        <v>230925</v>
      </c>
      <c r="O119" s="4">
        <v>230075</v>
      </c>
      <c r="P119" s="4">
        <v>226733.33333333331</v>
      </c>
      <c r="Q119" s="4">
        <v>226691.66666666669</v>
      </c>
      <c r="R119" s="45">
        <f t="shared" si="3"/>
        <v>-1.8376947956466274E-4</v>
      </c>
    </row>
    <row r="120" spans="1:18" ht="15" customHeight="1">
      <c r="A120" s="108" t="s">
        <v>635</v>
      </c>
      <c r="B120" s="109" t="s">
        <v>258</v>
      </c>
      <c r="C120" s="37" t="s">
        <v>101</v>
      </c>
      <c r="D120" s="37" t="s">
        <v>501</v>
      </c>
      <c r="E120" s="37" t="s">
        <v>3</v>
      </c>
      <c r="F120" s="4">
        <v>395425</v>
      </c>
      <c r="G120" s="4">
        <v>415000</v>
      </c>
      <c r="H120" s="4">
        <v>400125</v>
      </c>
      <c r="I120" s="4">
        <v>388491.66666666669</v>
      </c>
      <c r="J120" s="4">
        <v>364575</v>
      </c>
      <c r="K120" s="4">
        <v>363233.33333333331</v>
      </c>
      <c r="L120" s="4">
        <v>357958.33333333331</v>
      </c>
      <c r="M120" s="4">
        <v>352733.33333333331</v>
      </c>
      <c r="N120" s="4">
        <v>354275</v>
      </c>
      <c r="O120" s="4">
        <v>354533.33333333331</v>
      </c>
      <c r="P120" s="4">
        <v>351450</v>
      </c>
      <c r="Q120" s="4">
        <v>349225</v>
      </c>
      <c r="R120" s="45">
        <f t="shared" si="3"/>
        <v>-6.3309147816190074E-3</v>
      </c>
    </row>
    <row r="121" spans="1:18" ht="15" customHeight="1">
      <c r="A121" s="108" t="s">
        <v>636</v>
      </c>
      <c r="B121" s="109" t="s">
        <v>258</v>
      </c>
      <c r="C121" s="37" t="s">
        <v>51</v>
      </c>
      <c r="D121" s="37" t="s">
        <v>501</v>
      </c>
      <c r="E121" s="37" t="s">
        <v>13</v>
      </c>
      <c r="F121" s="4">
        <v>237725</v>
      </c>
      <c r="G121" s="4">
        <v>257350</v>
      </c>
      <c r="H121" s="4">
        <v>248691.66666666669</v>
      </c>
      <c r="I121" s="4">
        <v>230883.33333333331</v>
      </c>
      <c r="J121" s="4">
        <v>215000</v>
      </c>
      <c r="K121" s="4">
        <v>213725</v>
      </c>
      <c r="L121" s="4">
        <v>201416.66666666669</v>
      </c>
      <c r="M121" s="4">
        <v>187941.66666666669</v>
      </c>
      <c r="N121" s="4">
        <v>192941.66666666669</v>
      </c>
      <c r="O121" s="4">
        <v>195400</v>
      </c>
      <c r="P121" s="4">
        <v>193625</v>
      </c>
      <c r="Q121" s="4">
        <v>200525</v>
      </c>
      <c r="R121" s="45">
        <f t="shared" si="3"/>
        <v>3.5635894125242089E-2</v>
      </c>
    </row>
    <row r="122" spans="1:18" ht="15" customHeight="1">
      <c r="A122" s="108" t="s">
        <v>637</v>
      </c>
      <c r="B122" s="109" t="s">
        <v>258</v>
      </c>
      <c r="C122" s="37" t="s">
        <v>103</v>
      </c>
      <c r="D122" s="37" t="s">
        <v>501</v>
      </c>
      <c r="E122" s="37" t="s">
        <v>3</v>
      </c>
      <c r="F122" s="4">
        <v>285958.33333333331</v>
      </c>
      <c r="G122" s="4">
        <v>297716.66666666669</v>
      </c>
      <c r="H122" s="4">
        <v>300350</v>
      </c>
      <c r="I122" s="4">
        <v>288450</v>
      </c>
      <c r="J122" s="4">
        <v>277875</v>
      </c>
      <c r="K122" s="4">
        <v>286591.66666666669</v>
      </c>
      <c r="L122" s="4">
        <v>276241.66666666669</v>
      </c>
      <c r="M122" s="4">
        <v>270466.66666666669</v>
      </c>
      <c r="N122" s="4">
        <v>270241.66666666669</v>
      </c>
      <c r="O122" s="4">
        <v>274350</v>
      </c>
      <c r="P122" s="4">
        <v>270108.33333333331</v>
      </c>
      <c r="Q122" s="4">
        <v>271491.66666666669</v>
      </c>
      <c r="R122" s="45">
        <f t="shared" si="3"/>
        <v>5.1214019066425408E-3</v>
      </c>
    </row>
    <row r="123" spans="1:18" ht="15" customHeight="1">
      <c r="A123" s="108" t="s">
        <v>638</v>
      </c>
      <c r="B123" s="109" t="s">
        <v>258</v>
      </c>
      <c r="C123" s="37" t="s">
        <v>46</v>
      </c>
      <c r="D123" s="37" t="s">
        <v>501</v>
      </c>
      <c r="E123" s="37" t="s">
        <v>3</v>
      </c>
      <c r="F123" s="4">
        <v>292275</v>
      </c>
      <c r="G123" s="4">
        <v>305608.33333333331</v>
      </c>
      <c r="H123" s="4">
        <v>304708.33333333331</v>
      </c>
      <c r="I123" s="4">
        <v>293291.66666666669</v>
      </c>
      <c r="J123" s="4">
        <v>278125</v>
      </c>
      <c r="K123" s="4">
        <v>283725</v>
      </c>
      <c r="L123" s="4">
        <v>267158.33333333331</v>
      </c>
      <c r="M123" s="4">
        <v>265433.33333333331</v>
      </c>
      <c r="N123" s="4">
        <v>270466.66666666669</v>
      </c>
      <c r="O123" s="4">
        <v>267166.66666666669</v>
      </c>
      <c r="P123" s="4">
        <v>264191.66666666669</v>
      </c>
      <c r="Q123" s="4">
        <v>266591.66666666669</v>
      </c>
      <c r="R123" s="45">
        <f t="shared" si="3"/>
        <v>9.0843137873387377E-3</v>
      </c>
    </row>
    <row r="124" spans="1:18" ht="15" customHeight="1">
      <c r="A124" s="108" t="s">
        <v>639</v>
      </c>
      <c r="B124" s="109" t="s">
        <v>258</v>
      </c>
      <c r="C124" s="37" t="s">
        <v>89</v>
      </c>
      <c r="D124" s="37" t="s">
        <v>501</v>
      </c>
      <c r="E124" s="37" t="s">
        <v>510</v>
      </c>
      <c r="F124" s="4">
        <v>197241.66666666669</v>
      </c>
      <c r="G124" s="4">
        <v>214083.33333333331</v>
      </c>
      <c r="H124" s="4">
        <v>220633.33333333331</v>
      </c>
      <c r="I124" s="4">
        <v>203725</v>
      </c>
      <c r="J124" s="4">
        <v>191633.33333333331</v>
      </c>
      <c r="K124" s="4">
        <v>189800</v>
      </c>
      <c r="L124" s="4">
        <v>176258.33333333331</v>
      </c>
      <c r="M124" s="4">
        <v>168250</v>
      </c>
      <c r="N124" s="4">
        <v>165741.66666666669</v>
      </c>
      <c r="O124" s="4">
        <v>162725</v>
      </c>
      <c r="P124" s="4">
        <v>168866.66666666669</v>
      </c>
      <c r="Q124" s="4">
        <v>172400</v>
      </c>
      <c r="R124" s="45">
        <f t="shared" si="3"/>
        <v>2.0923805763916187E-2</v>
      </c>
    </row>
    <row r="125" spans="1:18" ht="15" customHeight="1">
      <c r="A125" s="108" t="s">
        <v>640</v>
      </c>
      <c r="B125" s="109" t="s">
        <v>258</v>
      </c>
      <c r="C125" s="37" t="s">
        <v>81</v>
      </c>
      <c r="D125" s="37" t="s">
        <v>501</v>
      </c>
      <c r="E125" s="37" t="s">
        <v>5</v>
      </c>
      <c r="F125" s="4">
        <v>271833.33333333331</v>
      </c>
      <c r="G125" s="4">
        <v>280250</v>
      </c>
      <c r="H125" s="4">
        <v>277758.33333333331</v>
      </c>
      <c r="I125" s="4">
        <v>270858.33333333331</v>
      </c>
      <c r="J125" s="4">
        <v>245441.66666666669</v>
      </c>
      <c r="K125" s="4">
        <v>236366.66666666669</v>
      </c>
      <c r="L125" s="4">
        <v>230833.33333333331</v>
      </c>
      <c r="M125" s="4">
        <v>215666.66666666669</v>
      </c>
      <c r="N125" s="4">
        <v>221341.66666666669</v>
      </c>
      <c r="O125" s="4">
        <v>224725</v>
      </c>
      <c r="P125" s="4">
        <v>222358.33333333331</v>
      </c>
      <c r="Q125" s="4">
        <v>222975</v>
      </c>
      <c r="R125" s="45">
        <f t="shared" si="3"/>
        <v>2.7733013529214231E-3</v>
      </c>
    </row>
    <row r="126" spans="1:18" ht="15" customHeight="1">
      <c r="A126" s="108" t="s">
        <v>641</v>
      </c>
      <c r="B126" s="109" t="s">
        <v>258</v>
      </c>
      <c r="C126" s="37" t="s">
        <v>113</v>
      </c>
      <c r="D126" s="37" t="s">
        <v>501</v>
      </c>
      <c r="E126" s="37" t="s">
        <v>3</v>
      </c>
      <c r="F126" s="4">
        <v>238733.33333333331</v>
      </c>
      <c r="G126" s="4">
        <v>250033.33333333331</v>
      </c>
      <c r="H126" s="4">
        <v>247975</v>
      </c>
      <c r="I126" s="4">
        <v>238150</v>
      </c>
      <c r="J126" s="4">
        <v>233025</v>
      </c>
      <c r="K126" s="4">
        <v>226858.33333333331</v>
      </c>
      <c r="L126" s="4">
        <v>219441.66666666669</v>
      </c>
      <c r="M126" s="4">
        <v>210066.66666666669</v>
      </c>
      <c r="N126" s="4">
        <v>212091.66666666669</v>
      </c>
      <c r="O126" s="4">
        <v>210525</v>
      </c>
      <c r="P126" s="4">
        <v>204258.33333333331</v>
      </c>
      <c r="Q126" s="4">
        <v>203791.66666666669</v>
      </c>
      <c r="R126" s="45">
        <f t="shared" si="3"/>
        <v>-2.2846885072006586E-3</v>
      </c>
    </row>
    <row r="127" spans="1:18" ht="15" customHeight="1">
      <c r="A127" s="108" t="s">
        <v>642</v>
      </c>
      <c r="B127" s="109" t="s">
        <v>258</v>
      </c>
      <c r="C127" s="37" t="s">
        <v>106</v>
      </c>
      <c r="D127" s="37" t="s">
        <v>501</v>
      </c>
      <c r="E127" s="37" t="s">
        <v>8</v>
      </c>
      <c r="F127" s="4">
        <v>691216.66666666663</v>
      </c>
      <c r="G127" s="4">
        <v>706225</v>
      </c>
      <c r="H127" s="4">
        <v>688516.66666666663</v>
      </c>
      <c r="I127" s="4">
        <v>638850</v>
      </c>
      <c r="J127" s="4">
        <v>575158.33333333337</v>
      </c>
      <c r="K127" s="4">
        <v>562608.33333333337</v>
      </c>
      <c r="L127" s="4">
        <v>557091.66666666663</v>
      </c>
      <c r="M127" s="4">
        <v>531466.66666666663</v>
      </c>
      <c r="N127" s="4">
        <v>520433.33333333331</v>
      </c>
      <c r="O127" s="4">
        <v>538558.33333333337</v>
      </c>
      <c r="P127" s="4">
        <v>549933.33333333337</v>
      </c>
      <c r="Q127" s="4">
        <v>531333.33333333337</v>
      </c>
      <c r="R127" s="45">
        <f t="shared" si="3"/>
        <v>-3.3822281488665291E-2</v>
      </c>
    </row>
    <row r="128" spans="1:18" ht="15" customHeight="1">
      <c r="A128" s="108" t="s">
        <v>643</v>
      </c>
      <c r="B128" s="109" t="s">
        <v>258</v>
      </c>
      <c r="C128" s="37" t="s">
        <v>68</v>
      </c>
      <c r="D128" s="37" t="s">
        <v>501</v>
      </c>
      <c r="E128" s="37" t="s">
        <v>3</v>
      </c>
      <c r="F128" s="4">
        <v>368591.66666666669</v>
      </c>
      <c r="G128" s="4">
        <v>390616.66666666669</v>
      </c>
      <c r="H128" s="4">
        <v>389675</v>
      </c>
      <c r="I128" s="4">
        <v>381283.33333333331</v>
      </c>
      <c r="J128" s="4">
        <v>363716.66666666669</v>
      </c>
      <c r="K128" s="4">
        <v>329250</v>
      </c>
      <c r="L128" s="4">
        <v>320008.33333333331</v>
      </c>
      <c r="M128" s="4">
        <v>314141.66666666669</v>
      </c>
      <c r="N128" s="4">
        <v>321041.66666666669</v>
      </c>
      <c r="O128" s="4">
        <v>323925</v>
      </c>
      <c r="P128" s="4">
        <v>325225</v>
      </c>
      <c r="Q128" s="4">
        <v>322408.33333333331</v>
      </c>
      <c r="R128" s="45">
        <f t="shared" si="3"/>
        <v>-8.6606708176391305E-3</v>
      </c>
    </row>
    <row r="129" spans="1:18" ht="15" customHeight="1">
      <c r="A129" s="108" t="s">
        <v>644</v>
      </c>
      <c r="B129" s="109" t="s">
        <v>258</v>
      </c>
      <c r="C129" s="37" t="s">
        <v>122</v>
      </c>
      <c r="D129" s="37" t="s">
        <v>501</v>
      </c>
      <c r="E129" s="37" t="s">
        <v>32</v>
      </c>
      <c r="F129" s="4">
        <v>276725</v>
      </c>
      <c r="G129" s="4">
        <v>295708.33333333331</v>
      </c>
      <c r="H129" s="4">
        <v>292741.66666666669</v>
      </c>
      <c r="I129" s="4">
        <v>274416.66666666669</v>
      </c>
      <c r="J129" s="4">
        <v>251300</v>
      </c>
      <c r="K129" s="4">
        <v>248291.66666666669</v>
      </c>
      <c r="L129" s="4">
        <v>240400</v>
      </c>
      <c r="M129" s="4">
        <v>237158.33333333331</v>
      </c>
      <c r="N129" s="4">
        <v>241375</v>
      </c>
      <c r="O129" s="4">
        <v>241125</v>
      </c>
      <c r="P129" s="4">
        <v>233158.33333333331</v>
      </c>
      <c r="Q129" s="4">
        <v>240900</v>
      </c>
      <c r="R129" s="45">
        <f t="shared" si="3"/>
        <v>3.320347403409709E-2</v>
      </c>
    </row>
    <row r="130" spans="1:18" ht="15" customHeight="1">
      <c r="A130" s="108" t="s">
        <v>645</v>
      </c>
      <c r="B130" s="109" t="s">
        <v>258</v>
      </c>
      <c r="C130" s="37" t="s">
        <v>87</v>
      </c>
      <c r="D130" s="37" t="s">
        <v>501</v>
      </c>
      <c r="E130" s="37" t="s">
        <v>5</v>
      </c>
      <c r="F130" s="4">
        <v>395958.33333333331</v>
      </c>
      <c r="G130" s="4">
        <v>404525</v>
      </c>
      <c r="H130" s="4">
        <v>395041.66666666669</v>
      </c>
      <c r="I130" s="4">
        <v>386083.33333333331</v>
      </c>
      <c r="J130" s="4">
        <v>356800</v>
      </c>
      <c r="K130" s="4">
        <v>357241.66666666669</v>
      </c>
      <c r="L130" s="4">
        <v>341550</v>
      </c>
      <c r="M130" s="4">
        <v>331758.33333333331</v>
      </c>
      <c r="N130" s="4">
        <v>333716.66666666669</v>
      </c>
      <c r="O130" s="4">
        <v>333516.66666666669</v>
      </c>
      <c r="P130" s="4">
        <v>331791.66666666669</v>
      </c>
      <c r="Q130" s="4">
        <v>333541.66666666669</v>
      </c>
      <c r="R130" s="45">
        <f t="shared" si="3"/>
        <v>5.2743940725857082E-3</v>
      </c>
    </row>
    <row r="131" spans="1:18" ht="15" customHeight="1">
      <c r="A131" s="108" t="s">
        <v>646</v>
      </c>
      <c r="B131" s="109" t="s">
        <v>258</v>
      </c>
      <c r="C131" s="37" t="s">
        <v>112</v>
      </c>
      <c r="D131" s="37" t="s">
        <v>501</v>
      </c>
      <c r="E131" s="37" t="s">
        <v>32</v>
      </c>
      <c r="F131" s="4">
        <v>288050</v>
      </c>
      <c r="G131" s="4">
        <v>293250</v>
      </c>
      <c r="H131" s="4">
        <v>299191.66666666669</v>
      </c>
      <c r="I131" s="4">
        <v>278533.33333333331</v>
      </c>
      <c r="J131" s="4">
        <v>258700</v>
      </c>
      <c r="K131" s="4">
        <v>251258.33333333331</v>
      </c>
      <c r="L131" s="4">
        <v>244725</v>
      </c>
      <c r="M131" s="4">
        <v>237225</v>
      </c>
      <c r="N131" s="4">
        <v>244675</v>
      </c>
      <c r="O131" s="4">
        <v>247666.66666666669</v>
      </c>
      <c r="P131" s="4">
        <v>244850</v>
      </c>
      <c r="Q131" s="4">
        <v>248108.33333333331</v>
      </c>
      <c r="R131" s="45">
        <f t="shared" ref="R131:R162" si="4">(Q131-P131)/P131</f>
        <v>1.3307467156762565E-2</v>
      </c>
    </row>
    <row r="132" spans="1:18" ht="15" customHeight="1">
      <c r="A132" s="108" t="s">
        <v>647</v>
      </c>
      <c r="B132" s="109" t="s">
        <v>258</v>
      </c>
      <c r="C132" s="37" t="s">
        <v>648</v>
      </c>
      <c r="D132" s="37" t="s">
        <v>501</v>
      </c>
      <c r="E132" s="37" t="s">
        <v>3</v>
      </c>
      <c r="F132" s="4">
        <v>247741.66666666669</v>
      </c>
      <c r="G132" s="4">
        <v>259358.33333333331</v>
      </c>
      <c r="H132" s="4">
        <v>263058.33333333331</v>
      </c>
      <c r="I132" s="4">
        <v>255808.33333333331</v>
      </c>
      <c r="J132" s="4">
        <v>247733.33333333331</v>
      </c>
      <c r="K132" s="4">
        <v>237358.33333333331</v>
      </c>
      <c r="L132" s="4">
        <v>229858.33333333331</v>
      </c>
      <c r="M132" s="4">
        <v>228458.33333333331</v>
      </c>
      <c r="N132" s="4">
        <v>223658.33333333331</v>
      </c>
      <c r="O132" s="4">
        <v>227783.33333333331</v>
      </c>
      <c r="P132" s="4">
        <v>227941.66666666669</v>
      </c>
      <c r="Q132" s="4">
        <v>229550</v>
      </c>
      <c r="R132" s="45">
        <f t="shared" si="4"/>
        <v>7.0558988045186146E-3</v>
      </c>
    </row>
    <row r="133" spans="1:18" ht="15" customHeight="1">
      <c r="A133" s="108" t="s">
        <v>649</v>
      </c>
      <c r="B133" s="109" t="s">
        <v>258</v>
      </c>
      <c r="C133" s="37" t="s">
        <v>146</v>
      </c>
      <c r="D133" s="37" t="s">
        <v>501</v>
      </c>
      <c r="E133" s="37" t="s">
        <v>3</v>
      </c>
      <c r="F133" s="4">
        <v>260350</v>
      </c>
      <c r="G133" s="4">
        <v>279433.33333333331</v>
      </c>
      <c r="H133" s="4">
        <v>278341.66666666669</v>
      </c>
      <c r="I133" s="4">
        <v>264000</v>
      </c>
      <c r="J133" s="4">
        <v>246883.33333333331</v>
      </c>
      <c r="K133" s="4">
        <v>241916.66666666669</v>
      </c>
      <c r="L133" s="4">
        <v>234925</v>
      </c>
      <c r="M133" s="4">
        <v>227466.66666666669</v>
      </c>
      <c r="N133" s="4">
        <v>226666.66666666669</v>
      </c>
      <c r="O133" s="4">
        <v>231141.66666666669</v>
      </c>
      <c r="P133" s="4">
        <v>227283.33333333331</v>
      </c>
      <c r="Q133" s="4">
        <v>228500</v>
      </c>
      <c r="R133" s="45">
        <f t="shared" si="4"/>
        <v>5.3530835227690232E-3</v>
      </c>
    </row>
    <row r="134" spans="1:18" ht="15" customHeight="1">
      <c r="A134" s="108" t="s">
        <v>650</v>
      </c>
      <c r="B134" s="109" t="s">
        <v>258</v>
      </c>
      <c r="C134" s="37" t="s">
        <v>39</v>
      </c>
      <c r="D134" s="37" t="s">
        <v>501</v>
      </c>
      <c r="E134" s="37" t="s">
        <v>32</v>
      </c>
      <c r="F134" s="4">
        <v>212316.66666666669</v>
      </c>
      <c r="G134" s="4">
        <v>229866.66666666669</v>
      </c>
      <c r="H134" s="4">
        <v>236650</v>
      </c>
      <c r="I134" s="4">
        <v>220991.66666666669</v>
      </c>
      <c r="J134" s="4">
        <v>190408.33333333331</v>
      </c>
      <c r="K134" s="4">
        <v>188575</v>
      </c>
      <c r="L134" s="4">
        <v>179775</v>
      </c>
      <c r="M134" s="4">
        <v>170616.66666666669</v>
      </c>
      <c r="N134" s="4">
        <v>175308.33333333331</v>
      </c>
      <c r="O134" s="4">
        <v>172691.66666666669</v>
      </c>
      <c r="P134" s="4">
        <v>174441.66666666669</v>
      </c>
      <c r="Q134" s="4">
        <v>180241.66666666669</v>
      </c>
      <c r="R134" s="45">
        <f t="shared" si="4"/>
        <v>3.3248937084985428E-2</v>
      </c>
    </row>
    <row r="135" spans="1:18" ht="15" customHeight="1">
      <c r="A135" s="108" t="s">
        <v>651</v>
      </c>
      <c r="B135" s="109" t="s">
        <v>258</v>
      </c>
      <c r="C135" s="37" t="s">
        <v>57</v>
      </c>
      <c r="D135" s="37" t="s">
        <v>501</v>
      </c>
      <c r="E135" s="37" t="s">
        <v>13</v>
      </c>
      <c r="F135" s="4">
        <v>296875</v>
      </c>
      <c r="G135" s="4">
        <v>308533.33333333331</v>
      </c>
      <c r="H135" s="4">
        <v>309816.66666666669</v>
      </c>
      <c r="I135" s="4">
        <v>288791.66666666669</v>
      </c>
      <c r="J135" s="4">
        <v>255125</v>
      </c>
      <c r="K135" s="4">
        <v>244491.66666666669</v>
      </c>
      <c r="L135" s="4">
        <v>240658.33333333331</v>
      </c>
      <c r="M135" s="4">
        <v>227141.66666666669</v>
      </c>
      <c r="N135" s="4">
        <v>229291.66666666669</v>
      </c>
      <c r="O135" s="4">
        <v>232491.66666666669</v>
      </c>
      <c r="P135" s="4">
        <v>231183.33333333331</v>
      </c>
      <c r="Q135" s="4">
        <v>229050</v>
      </c>
      <c r="R135" s="45">
        <f t="shared" si="4"/>
        <v>-9.2278855165452266E-3</v>
      </c>
    </row>
    <row r="136" spans="1:18" ht="15" customHeight="1">
      <c r="A136" s="108" t="s">
        <v>652</v>
      </c>
      <c r="B136" s="109" t="s">
        <v>258</v>
      </c>
      <c r="C136" s="37" t="s">
        <v>132</v>
      </c>
      <c r="D136" s="37" t="s">
        <v>501</v>
      </c>
      <c r="E136" s="37" t="s">
        <v>3</v>
      </c>
      <c r="F136" s="4">
        <v>302308.33333333331</v>
      </c>
      <c r="G136" s="4">
        <v>323716.66666666669</v>
      </c>
      <c r="H136" s="4">
        <v>334033.33333333331</v>
      </c>
      <c r="I136" s="4">
        <v>316091.66666666669</v>
      </c>
      <c r="J136" s="4">
        <v>283316.66666666669</v>
      </c>
      <c r="K136" s="4">
        <v>272433.33333333331</v>
      </c>
      <c r="L136" s="4">
        <v>259341.66666666669</v>
      </c>
      <c r="M136" s="4">
        <v>252083.33333333331</v>
      </c>
      <c r="N136" s="4">
        <v>258658.33333333331</v>
      </c>
      <c r="O136" s="4">
        <v>258775</v>
      </c>
      <c r="P136" s="4">
        <v>255333.33333333331</v>
      </c>
      <c r="Q136" s="4">
        <v>253991.66666666669</v>
      </c>
      <c r="R136" s="45">
        <f t="shared" si="4"/>
        <v>-5.2545691906003703E-3</v>
      </c>
    </row>
    <row r="137" spans="1:18" ht="15" customHeight="1">
      <c r="A137" s="108" t="s">
        <v>653</v>
      </c>
      <c r="B137" s="109" t="s">
        <v>258</v>
      </c>
      <c r="C137" s="37" t="s">
        <v>105</v>
      </c>
      <c r="D137" s="37" t="s">
        <v>501</v>
      </c>
      <c r="E137" s="37" t="s">
        <v>510</v>
      </c>
      <c r="F137" s="4">
        <v>239250</v>
      </c>
      <c r="G137" s="4">
        <v>260658.33333333331</v>
      </c>
      <c r="H137" s="4">
        <v>260900</v>
      </c>
      <c r="I137" s="4">
        <v>234583.33333333331</v>
      </c>
      <c r="J137" s="4">
        <v>219141.66666666669</v>
      </c>
      <c r="K137" s="4">
        <v>213083.33333333331</v>
      </c>
      <c r="L137" s="4">
        <v>205516.66666666669</v>
      </c>
      <c r="M137" s="4">
        <v>198208.33333333331</v>
      </c>
      <c r="N137" s="4">
        <v>201716.66666666669</v>
      </c>
      <c r="O137" s="4">
        <v>210116.66666666669</v>
      </c>
      <c r="P137" s="4">
        <v>204550</v>
      </c>
      <c r="Q137" s="4">
        <v>207150</v>
      </c>
      <c r="R137" s="45">
        <f t="shared" si="4"/>
        <v>1.2710828648252261E-2</v>
      </c>
    </row>
    <row r="138" spans="1:18" ht="15" customHeight="1">
      <c r="A138" s="108" t="s">
        <v>654</v>
      </c>
      <c r="B138" s="109" t="s">
        <v>258</v>
      </c>
      <c r="C138" s="37" t="s">
        <v>70</v>
      </c>
      <c r="D138" s="37" t="s">
        <v>501</v>
      </c>
      <c r="E138" s="37" t="s">
        <v>3</v>
      </c>
      <c r="F138" s="4">
        <v>274850</v>
      </c>
      <c r="G138" s="4">
        <v>293725</v>
      </c>
      <c r="H138" s="4">
        <v>299400</v>
      </c>
      <c r="I138" s="4">
        <v>276583.33333333331</v>
      </c>
      <c r="J138" s="4">
        <v>271408.33333333331</v>
      </c>
      <c r="K138" s="4">
        <v>253783.33333333331</v>
      </c>
      <c r="L138" s="4">
        <v>238333.33333333331</v>
      </c>
      <c r="M138" s="4">
        <v>232366.66666666669</v>
      </c>
      <c r="N138" s="4">
        <v>235758.33333333331</v>
      </c>
      <c r="O138" s="4">
        <v>243150</v>
      </c>
      <c r="P138" s="4">
        <v>236333.33333333331</v>
      </c>
      <c r="Q138" s="4">
        <v>236091.66666666669</v>
      </c>
      <c r="R138" s="45">
        <f t="shared" si="4"/>
        <v>-1.0225669957685242E-3</v>
      </c>
    </row>
    <row r="139" spans="1:18" ht="15" customHeight="1">
      <c r="A139" s="108" t="s">
        <v>655</v>
      </c>
      <c r="B139" s="109" t="s">
        <v>258</v>
      </c>
      <c r="C139" s="37" t="s">
        <v>148</v>
      </c>
      <c r="D139" s="37" t="s">
        <v>501</v>
      </c>
      <c r="E139" s="37" t="s">
        <v>13</v>
      </c>
      <c r="F139" s="4">
        <v>256925</v>
      </c>
      <c r="G139" s="4">
        <v>275008.33333333331</v>
      </c>
      <c r="H139" s="4">
        <v>272683.33333333331</v>
      </c>
      <c r="I139" s="4">
        <v>258233.33333333331</v>
      </c>
      <c r="J139" s="4">
        <v>239283.33333333331</v>
      </c>
      <c r="K139" s="4">
        <v>227650</v>
      </c>
      <c r="L139" s="4">
        <v>219250</v>
      </c>
      <c r="M139" s="4">
        <v>210475</v>
      </c>
      <c r="N139" s="4">
        <v>215308.33333333331</v>
      </c>
      <c r="O139" s="4">
        <v>217383.33333333331</v>
      </c>
      <c r="P139" s="4">
        <v>211350</v>
      </c>
      <c r="Q139" s="4">
        <v>213366.66666666669</v>
      </c>
      <c r="R139" s="45">
        <f t="shared" si="4"/>
        <v>9.5418342402019685E-3</v>
      </c>
    </row>
    <row r="140" spans="1:18" ht="15" customHeight="1">
      <c r="A140" s="108" t="s">
        <v>656</v>
      </c>
      <c r="B140" s="109" t="s">
        <v>258</v>
      </c>
      <c r="C140" s="37" t="s">
        <v>12</v>
      </c>
      <c r="D140" s="37" t="s">
        <v>501</v>
      </c>
      <c r="E140" s="37" t="s">
        <v>3</v>
      </c>
      <c r="F140" s="4">
        <v>276750</v>
      </c>
      <c r="G140" s="4">
        <v>289066.66666666669</v>
      </c>
      <c r="H140" s="4">
        <v>286941.66666666669</v>
      </c>
      <c r="I140" s="4">
        <v>278458.33333333331</v>
      </c>
      <c r="J140" s="4">
        <v>261708.33333333331</v>
      </c>
      <c r="K140" s="4">
        <v>259300</v>
      </c>
      <c r="L140" s="4">
        <v>246500</v>
      </c>
      <c r="M140" s="4">
        <v>235216.66666666669</v>
      </c>
      <c r="N140" s="4">
        <v>238516.66666666669</v>
      </c>
      <c r="O140" s="4">
        <v>237683.33333333331</v>
      </c>
      <c r="P140" s="4">
        <v>234450</v>
      </c>
      <c r="Q140" s="4">
        <v>230000</v>
      </c>
      <c r="R140" s="45">
        <f t="shared" si="4"/>
        <v>-1.8980592876946045E-2</v>
      </c>
    </row>
    <row r="141" spans="1:18" ht="15" customHeight="1">
      <c r="A141" s="108" t="s">
        <v>657</v>
      </c>
      <c r="B141" s="109" t="s">
        <v>258</v>
      </c>
      <c r="C141" s="37" t="s">
        <v>150</v>
      </c>
      <c r="D141" s="37" t="s">
        <v>501</v>
      </c>
      <c r="E141" s="37" t="s">
        <v>3</v>
      </c>
      <c r="F141" s="4">
        <v>406125</v>
      </c>
      <c r="G141" s="4">
        <v>420766.66666666669</v>
      </c>
      <c r="H141" s="4">
        <v>416366.66666666669</v>
      </c>
      <c r="I141" s="4">
        <v>398608.33333333331</v>
      </c>
      <c r="J141" s="4">
        <v>380666.66666666669</v>
      </c>
      <c r="K141" s="4">
        <v>360875</v>
      </c>
      <c r="L141" s="4">
        <v>355683.33333333331</v>
      </c>
      <c r="M141" s="4">
        <v>354441.66666666669</v>
      </c>
      <c r="N141" s="4">
        <v>347125</v>
      </c>
      <c r="O141" s="4">
        <v>347541.66666666669</v>
      </c>
      <c r="P141" s="4">
        <v>348225</v>
      </c>
      <c r="Q141" s="4">
        <v>345616.66666666669</v>
      </c>
      <c r="R141" s="45">
        <f t="shared" si="4"/>
        <v>-7.4903678177423039E-3</v>
      </c>
    </row>
    <row r="142" spans="1:18" ht="15" customHeight="1">
      <c r="A142" s="108" t="s">
        <v>658</v>
      </c>
      <c r="B142" s="109" t="s">
        <v>258</v>
      </c>
      <c r="C142" s="37" t="s">
        <v>96</v>
      </c>
      <c r="D142" s="37" t="s">
        <v>501</v>
      </c>
      <c r="E142" s="37" t="s">
        <v>32</v>
      </c>
      <c r="F142" s="4">
        <v>228075</v>
      </c>
      <c r="G142" s="4">
        <v>237866.66666666669</v>
      </c>
      <c r="H142" s="4">
        <v>243908.33333333331</v>
      </c>
      <c r="I142" s="4">
        <v>242925</v>
      </c>
      <c r="J142" s="4">
        <v>225800</v>
      </c>
      <c r="K142" s="4">
        <v>220775</v>
      </c>
      <c r="L142" s="4">
        <v>215658.33333333331</v>
      </c>
      <c r="M142" s="4">
        <v>193666.66666666669</v>
      </c>
      <c r="N142" s="4">
        <v>190333.33333333331</v>
      </c>
      <c r="O142" s="4">
        <v>189158.33333333331</v>
      </c>
      <c r="P142" s="4">
        <v>196116.66666666669</v>
      </c>
      <c r="Q142" s="4">
        <v>197750</v>
      </c>
      <c r="R142" s="45">
        <f t="shared" si="4"/>
        <v>8.3283759666863966E-3</v>
      </c>
    </row>
    <row r="143" spans="1:18" ht="15" customHeight="1">
      <c r="A143" s="108" t="s">
        <v>659</v>
      </c>
      <c r="B143" s="109" t="s">
        <v>258</v>
      </c>
      <c r="C143" s="37" t="s">
        <v>660</v>
      </c>
      <c r="D143" s="37" t="s">
        <v>501</v>
      </c>
      <c r="E143" s="37" t="s">
        <v>3</v>
      </c>
      <c r="F143" s="4">
        <v>194516.66666666669</v>
      </c>
      <c r="G143" s="4">
        <v>211050</v>
      </c>
      <c r="H143" s="4">
        <v>223033.33333333331</v>
      </c>
      <c r="I143" s="4">
        <v>211308.33333333331</v>
      </c>
      <c r="J143" s="4">
        <v>203166.66666666669</v>
      </c>
      <c r="K143" s="4">
        <v>199783.33333333331</v>
      </c>
      <c r="L143" s="4">
        <v>186191.66666666669</v>
      </c>
      <c r="M143" s="4">
        <v>175008.33333333331</v>
      </c>
      <c r="N143" s="4">
        <v>178216.66666666669</v>
      </c>
      <c r="O143" s="4">
        <v>182641.66666666669</v>
      </c>
      <c r="P143" s="4">
        <v>178716.66666666669</v>
      </c>
      <c r="Q143" s="4">
        <v>178650</v>
      </c>
      <c r="R143" s="45">
        <f t="shared" si="4"/>
        <v>-3.7302993565244461E-4</v>
      </c>
    </row>
    <row r="144" spans="1:18" ht="15" customHeight="1">
      <c r="A144" s="108" t="s">
        <v>661</v>
      </c>
      <c r="B144" s="109" t="s">
        <v>258</v>
      </c>
      <c r="C144" s="37" t="s">
        <v>102</v>
      </c>
      <c r="D144" s="37" t="s">
        <v>501</v>
      </c>
      <c r="E144" s="37" t="s">
        <v>13</v>
      </c>
      <c r="F144" s="4">
        <v>273009.09090909088</v>
      </c>
      <c r="G144" s="4">
        <v>265683.33333333331</v>
      </c>
      <c r="H144" s="4">
        <v>283341.66666666669</v>
      </c>
      <c r="I144" s="4">
        <v>264616.66666666669</v>
      </c>
      <c r="J144" s="4">
        <v>224600</v>
      </c>
      <c r="K144" s="4">
        <v>211108.33333333331</v>
      </c>
      <c r="L144" s="4">
        <v>198541.66666666669</v>
      </c>
      <c r="M144" s="4">
        <v>184216.66666666669</v>
      </c>
      <c r="N144" s="4">
        <v>186391.66666666669</v>
      </c>
      <c r="O144" s="4">
        <v>184541.66666666669</v>
      </c>
      <c r="P144" s="4">
        <v>184950</v>
      </c>
      <c r="Q144" s="4">
        <v>191741.66666666669</v>
      </c>
      <c r="R144" s="45">
        <f t="shared" si="4"/>
        <v>3.6721636478327581E-2</v>
      </c>
    </row>
    <row r="145" spans="1:18" ht="15" customHeight="1">
      <c r="A145" s="108" t="s">
        <v>662</v>
      </c>
      <c r="B145" s="109" t="s">
        <v>258</v>
      </c>
      <c r="C145" s="37" t="s">
        <v>154</v>
      </c>
      <c r="D145" s="37" t="s">
        <v>501</v>
      </c>
      <c r="E145" s="37" t="s">
        <v>3</v>
      </c>
      <c r="F145" s="4">
        <v>187825</v>
      </c>
      <c r="G145" s="4">
        <v>205833.33333333331</v>
      </c>
      <c r="H145" s="4">
        <v>206808.33333333331</v>
      </c>
      <c r="I145" s="4">
        <v>196633.33333333331</v>
      </c>
      <c r="J145" s="4">
        <v>188591.66666666669</v>
      </c>
      <c r="K145" s="4">
        <v>183983.33333333331</v>
      </c>
      <c r="L145" s="4">
        <v>173066.66666666669</v>
      </c>
      <c r="M145" s="4">
        <v>168541.66666666669</v>
      </c>
      <c r="N145" s="4">
        <v>167866.66666666669</v>
      </c>
      <c r="O145" s="4">
        <v>168916.66666666669</v>
      </c>
      <c r="P145" s="4">
        <v>165275</v>
      </c>
      <c r="Q145" s="4">
        <v>164483.33333333331</v>
      </c>
      <c r="R145" s="45">
        <f t="shared" si="4"/>
        <v>-4.7899964705290336E-3</v>
      </c>
    </row>
    <row r="146" spans="1:18" ht="15" customHeight="1">
      <c r="A146" s="108" t="s">
        <v>663</v>
      </c>
      <c r="B146" s="109" t="s">
        <v>258</v>
      </c>
      <c r="C146" s="37" t="s">
        <v>90</v>
      </c>
      <c r="D146" s="37" t="s">
        <v>501</v>
      </c>
      <c r="E146" s="37" t="s">
        <v>510</v>
      </c>
      <c r="F146" s="4">
        <v>218458.33333333331</v>
      </c>
      <c r="G146" s="4">
        <v>231266.66666666669</v>
      </c>
      <c r="H146" s="4">
        <v>237641.66666666669</v>
      </c>
      <c r="I146" s="4">
        <v>227633.33333333331</v>
      </c>
      <c r="J146" s="4">
        <v>211200</v>
      </c>
      <c r="K146" s="4">
        <v>206166.66666666669</v>
      </c>
      <c r="L146" s="4">
        <v>200875</v>
      </c>
      <c r="M146" s="4">
        <v>190283.33333333331</v>
      </c>
      <c r="N146" s="4">
        <v>189991.66666666669</v>
      </c>
      <c r="O146" s="4">
        <v>191033.33333333331</v>
      </c>
      <c r="P146" s="4">
        <v>198091.66666666669</v>
      </c>
      <c r="Q146" s="4">
        <v>206991.66666666669</v>
      </c>
      <c r="R146" s="45">
        <f t="shared" si="4"/>
        <v>4.4928694627907953E-2</v>
      </c>
    </row>
    <row r="147" spans="1:18" ht="15" customHeight="1">
      <c r="A147" s="108" t="s">
        <v>664</v>
      </c>
      <c r="B147" s="109" t="s">
        <v>258</v>
      </c>
      <c r="C147" s="37" t="s">
        <v>665</v>
      </c>
      <c r="D147" s="37" t="s">
        <v>501</v>
      </c>
      <c r="E147" s="37" t="s">
        <v>13</v>
      </c>
      <c r="F147" s="4">
        <v>458175</v>
      </c>
      <c r="G147" s="4">
        <v>483808.33333333331</v>
      </c>
      <c r="H147" s="4">
        <v>470808.33333333331</v>
      </c>
      <c r="I147" s="4">
        <v>457050</v>
      </c>
      <c r="J147" s="4">
        <v>440033.33333333331</v>
      </c>
      <c r="K147" s="4">
        <v>417683.33333333331</v>
      </c>
      <c r="L147" s="4">
        <v>407750</v>
      </c>
      <c r="M147" s="4">
        <v>389366.66666666669</v>
      </c>
      <c r="N147" s="4">
        <v>406683.33333333331</v>
      </c>
      <c r="O147" s="4">
        <v>402041.66666666669</v>
      </c>
      <c r="P147" s="4">
        <v>394000</v>
      </c>
      <c r="Q147" s="4">
        <v>406883.33333333331</v>
      </c>
      <c r="R147" s="45">
        <f t="shared" si="4"/>
        <v>3.269881556683582E-2</v>
      </c>
    </row>
    <row r="148" spans="1:18" ht="15" customHeight="1">
      <c r="A148" s="108" t="s">
        <v>666</v>
      </c>
      <c r="B148" s="109" t="s">
        <v>258</v>
      </c>
      <c r="C148" s="37" t="s">
        <v>133</v>
      </c>
      <c r="D148" s="37" t="s">
        <v>501</v>
      </c>
      <c r="E148" s="37" t="s">
        <v>3</v>
      </c>
      <c r="F148" s="4">
        <v>260825</v>
      </c>
      <c r="G148" s="4">
        <v>269300</v>
      </c>
      <c r="H148" s="4">
        <v>272416.66666666669</v>
      </c>
      <c r="I148" s="4">
        <v>263316.66666666669</v>
      </c>
      <c r="J148" s="4">
        <v>255783.33333333331</v>
      </c>
      <c r="K148" s="4">
        <v>253283.33333333331</v>
      </c>
      <c r="L148" s="4">
        <v>243808.33333333331</v>
      </c>
      <c r="M148" s="4">
        <v>236666.66666666669</v>
      </c>
      <c r="N148" s="4">
        <v>241600</v>
      </c>
      <c r="O148" s="4">
        <v>240966.66666666669</v>
      </c>
      <c r="P148" s="4">
        <v>242258.33333333331</v>
      </c>
      <c r="Q148" s="4">
        <v>244866.66666666669</v>
      </c>
      <c r="R148" s="45">
        <f t="shared" si="4"/>
        <v>1.0766743490076182E-2</v>
      </c>
    </row>
    <row r="149" spans="1:18" ht="15" customHeight="1">
      <c r="A149" s="108" t="s">
        <v>667</v>
      </c>
      <c r="B149" s="109" t="s">
        <v>258</v>
      </c>
      <c r="C149" s="37" t="s">
        <v>145</v>
      </c>
      <c r="D149" s="37" t="s">
        <v>501</v>
      </c>
      <c r="E149" s="37" t="s">
        <v>32</v>
      </c>
      <c r="F149" s="4">
        <v>229241.66666666669</v>
      </c>
      <c r="G149" s="4">
        <v>238591.66666666669</v>
      </c>
      <c r="H149" s="4">
        <v>252700</v>
      </c>
      <c r="I149" s="4">
        <v>241591.66666666669</v>
      </c>
      <c r="J149" s="4">
        <v>228391.66666666669</v>
      </c>
      <c r="K149" s="4">
        <v>217691.66666666669</v>
      </c>
      <c r="L149" s="4">
        <v>208983.33333333331</v>
      </c>
      <c r="M149" s="4">
        <v>197816.66666666669</v>
      </c>
      <c r="N149" s="4">
        <v>198300</v>
      </c>
      <c r="O149" s="4">
        <v>188958.33333333331</v>
      </c>
      <c r="P149" s="4">
        <v>184016.66666666669</v>
      </c>
      <c r="Q149" s="4">
        <v>189608.33333333331</v>
      </c>
      <c r="R149" s="45">
        <f t="shared" si="4"/>
        <v>3.03867403314915E-2</v>
      </c>
    </row>
    <row r="150" spans="1:18" ht="15" customHeight="1">
      <c r="A150" s="108" t="s">
        <v>668</v>
      </c>
      <c r="B150" s="109" t="s">
        <v>258</v>
      </c>
      <c r="C150" s="37" t="s">
        <v>131</v>
      </c>
      <c r="D150" s="37" t="s">
        <v>501</v>
      </c>
      <c r="E150" s="37" t="s">
        <v>13</v>
      </c>
      <c r="F150" s="4">
        <v>287800</v>
      </c>
      <c r="G150" s="4">
        <v>288391.66666666669</v>
      </c>
      <c r="H150" s="4">
        <v>288950</v>
      </c>
      <c r="I150" s="4">
        <v>273816.66666666669</v>
      </c>
      <c r="J150" s="4">
        <v>257825</v>
      </c>
      <c r="K150" s="4">
        <v>254216.66666666669</v>
      </c>
      <c r="L150" s="4">
        <v>244958.33333333331</v>
      </c>
      <c r="M150" s="4">
        <v>232500</v>
      </c>
      <c r="N150" s="4">
        <v>236191.66666666669</v>
      </c>
      <c r="O150" s="4">
        <v>242716.66666666669</v>
      </c>
      <c r="P150" s="4">
        <v>240200</v>
      </c>
      <c r="Q150" s="4">
        <v>239675</v>
      </c>
      <c r="R150" s="45">
        <f t="shared" si="4"/>
        <v>-2.1856786011656953E-3</v>
      </c>
    </row>
    <row r="151" spans="1:18" ht="15" customHeight="1">
      <c r="A151" s="108" t="s">
        <v>669</v>
      </c>
      <c r="B151" s="109" t="s">
        <v>258</v>
      </c>
      <c r="C151" s="37" t="s">
        <v>670</v>
      </c>
      <c r="D151" s="37" t="s">
        <v>501</v>
      </c>
      <c r="E151" s="37" t="s">
        <v>13</v>
      </c>
      <c r="F151" s="4">
        <v>192758.33333333331</v>
      </c>
      <c r="G151" s="4">
        <v>200466.66666666669</v>
      </c>
      <c r="H151" s="4">
        <v>198350</v>
      </c>
      <c r="I151" s="4">
        <v>184108.33333333331</v>
      </c>
      <c r="J151" s="4">
        <v>169675</v>
      </c>
      <c r="K151" s="4">
        <v>163833.33333333331</v>
      </c>
      <c r="L151" s="4">
        <v>153316.66666666669</v>
      </c>
      <c r="M151" s="4">
        <v>143100</v>
      </c>
      <c r="N151" s="4">
        <v>140900</v>
      </c>
      <c r="O151" s="4">
        <v>143908.33333333331</v>
      </c>
      <c r="P151" s="4">
        <v>142833.33333333331</v>
      </c>
      <c r="Q151" s="4">
        <v>142525</v>
      </c>
      <c r="R151" s="45">
        <f t="shared" si="4"/>
        <v>-2.1586931155191179E-3</v>
      </c>
    </row>
    <row r="152" spans="1:18" ht="15" customHeight="1">
      <c r="A152" s="108" t="s">
        <v>671</v>
      </c>
      <c r="B152" s="109" t="s">
        <v>258</v>
      </c>
      <c r="C152" s="37" t="s">
        <v>135</v>
      </c>
      <c r="D152" s="37" t="s">
        <v>501</v>
      </c>
      <c r="E152" s="37" t="s">
        <v>3</v>
      </c>
      <c r="F152" s="4">
        <v>334100</v>
      </c>
      <c r="G152" s="4">
        <v>336591.66666666669</v>
      </c>
      <c r="H152" s="4">
        <v>336483.33333333331</v>
      </c>
      <c r="I152" s="4">
        <v>330158.33333333331</v>
      </c>
      <c r="J152" s="4">
        <v>312775</v>
      </c>
      <c r="K152" s="4">
        <v>306433.33333333331</v>
      </c>
      <c r="L152" s="4">
        <v>305791.66666666669</v>
      </c>
      <c r="M152" s="4">
        <v>295925</v>
      </c>
      <c r="N152" s="4">
        <v>303141.66666666669</v>
      </c>
      <c r="O152" s="4">
        <v>299041.66666666669</v>
      </c>
      <c r="P152" s="4">
        <v>296616.66666666669</v>
      </c>
      <c r="Q152" s="4">
        <v>307016.66666666669</v>
      </c>
      <c r="R152" s="45">
        <f t="shared" si="4"/>
        <v>3.5062089116143169E-2</v>
      </c>
    </row>
    <row r="153" spans="1:18" ht="15" customHeight="1">
      <c r="A153" s="108" t="s">
        <v>672</v>
      </c>
      <c r="B153" s="109" t="s">
        <v>258</v>
      </c>
      <c r="C153" s="37" t="s">
        <v>673</v>
      </c>
      <c r="D153" s="37" t="s">
        <v>501</v>
      </c>
      <c r="E153" s="37" t="s">
        <v>3</v>
      </c>
      <c r="F153" s="4">
        <v>296233.33333333331</v>
      </c>
      <c r="G153" s="4">
        <v>312133.33333333331</v>
      </c>
      <c r="H153" s="4">
        <v>310733.33333333331</v>
      </c>
      <c r="I153" s="4">
        <v>308916.66666666669</v>
      </c>
      <c r="J153" s="4">
        <v>298250</v>
      </c>
      <c r="K153" s="4">
        <v>287125</v>
      </c>
      <c r="L153" s="4">
        <v>272350</v>
      </c>
      <c r="M153" s="4">
        <v>269941.66666666669</v>
      </c>
      <c r="N153" s="4">
        <v>268858.33333333331</v>
      </c>
      <c r="O153" s="4">
        <v>271875</v>
      </c>
      <c r="P153" s="4">
        <v>272566.66666666669</v>
      </c>
      <c r="Q153" s="4">
        <v>272433.33333333331</v>
      </c>
      <c r="R153" s="45">
        <f t="shared" si="4"/>
        <v>-4.8917695976533743E-4</v>
      </c>
    </row>
    <row r="154" spans="1:18" ht="15" customHeight="1">
      <c r="A154" s="108" t="s">
        <v>674</v>
      </c>
      <c r="B154" s="109" t="s">
        <v>258</v>
      </c>
      <c r="C154" s="37" t="s">
        <v>95</v>
      </c>
      <c r="D154" s="37" t="s">
        <v>501</v>
      </c>
      <c r="E154" s="37" t="s">
        <v>8</v>
      </c>
      <c r="F154" s="4">
        <v>533691.66666666663</v>
      </c>
      <c r="G154" s="4">
        <v>516533.33333333331</v>
      </c>
      <c r="H154" s="4">
        <v>512383.33333333331</v>
      </c>
      <c r="I154" s="4">
        <v>497558.33333333331</v>
      </c>
      <c r="J154" s="4">
        <v>478008.33333333331</v>
      </c>
      <c r="K154" s="4">
        <v>443975</v>
      </c>
      <c r="L154" s="4">
        <v>431433.33333333331</v>
      </c>
      <c r="M154" s="4">
        <v>405191.66666666669</v>
      </c>
      <c r="N154" s="4">
        <v>414200</v>
      </c>
      <c r="O154" s="4">
        <v>401675</v>
      </c>
      <c r="P154" s="4">
        <v>422133.33333333331</v>
      </c>
      <c r="Q154" s="4">
        <v>424391.66666666669</v>
      </c>
      <c r="R154" s="45">
        <f t="shared" si="4"/>
        <v>5.3498104864182858E-3</v>
      </c>
    </row>
    <row r="155" spans="1:18" ht="15" customHeight="1">
      <c r="A155" s="108" t="s">
        <v>675</v>
      </c>
      <c r="B155" s="109" t="s">
        <v>258</v>
      </c>
      <c r="C155" s="37" t="s">
        <v>125</v>
      </c>
      <c r="D155" s="37" t="s">
        <v>501</v>
      </c>
      <c r="E155" s="37" t="s">
        <v>32</v>
      </c>
      <c r="F155" s="4">
        <v>347808.33333333331</v>
      </c>
      <c r="G155" s="4">
        <v>357533.33333333331</v>
      </c>
      <c r="H155" s="4">
        <v>348258.33333333331</v>
      </c>
      <c r="I155" s="4">
        <v>332925</v>
      </c>
      <c r="J155" s="4">
        <v>314966.66666666669</v>
      </c>
      <c r="K155" s="4">
        <v>304791.66666666669</v>
      </c>
      <c r="L155" s="4">
        <v>298208.33333333331</v>
      </c>
      <c r="M155" s="4">
        <v>287425</v>
      </c>
      <c r="N155" s="4">
        <v>288700</v>
      </c>
      <c r="O155" s="4">
        <v>277916.66666666669</v>
      </c>
      <c r="P155" s="4">
        <v>288933.33333333331</v>
      </c>
      <c r="Q155" s="4">
        <v>286466.66666666669</v>
      </c>
      <c r="R155" s="45">
        <f t="shared" si="4"/>
        <v>-8.537148131056627E-3</v>
      </c>
    </row>
    <row r="156" spans="1:18" ht="15" customHeight="1">
      <c r="A156" s="108" t="s">
        <v>676</v>
      </c>
      <c r="B156" s="109" t="s">
        <v>258</v>
      </c>
      <c r="C156" s="37" t="s">
        <v>62</v>
      </c>
      <c r="D156" s="37" t="s">
        <v>501</v>
      </c>
      <c r="E156" s="37" t="s">
        <v>510</v>
      </c>
      <c r="F156" s="4">
        <v>240041.66666666669</v>
      </c>
      <c r="G156" s="4">
        <v>248766.66666666669</v>
      </c>
      <c r="H156" s="4">
        <v>241433.33333333331</v>
      </c>
      <c r="I156" s="4">
        <v>222283.33333333331</v>
      </c>
      <c r="J156" s="4">
        <v>212683.33333333331</v>
      </c>
      <c r="K156" s="4">
        <v>200316.66666666669</v>
      </c>
      <c r="L156" s="4">
        <v>191258.33333333331</v>
      </c>
      <c r="M156" s="4">
        <v>181425</v>
      </c>
      <c r="N156" s="4">
        <v>189341.66666666669</v>
      </c>
      <c r="O156" s="4">
        <v>186500</v>
      </c>
      <c r="P156" s="4">
        <v>193308.33333333331</v>
      </c>
      <c r="Q156" s="4">
        <v>207200</v>
      </c>
      <c r="R156" s="45">
        <f t="shared" si="4"/>
        <v>7.186274087166454E-2</v>
      </c>
    </row>
    <row r="157" spans="1:18" ht="15" customHeight="1">
      <c r="A157" s="108" t="s">
        <v>677</v>
      </c>
      <c r="B157" s="109" t="s">
        <v>258</v>
      </c>
      <c r="C157" s="37" t="s">
        <v>678</v>
      </c>
      <c r="D157" s="37" t="s">
        <v>501</v>
      </c>
      <c r="E157" s="37" t="s">
        <v>13</v>
      </c>
      <c r="F157" s="4">
        <v>206341.66666666669</v>
      </c>
      <c r="G157" s="4">
        <v>214983.33333333331</v>
      </c>
      <c r="H157" s="4">
        <v>208183.33333333331</v>
      </c>
      <c r="I157" s="4">
        <v>192958.33333333331</v>
      </c>
      <c r="J157" s="4">
        <v>179491.66666666669</v>
      </c>
      <c r="K157" s="4">
        <v>176716.66666666669</v>
      </c>
      <c r="L157" s="4">
        <v>170400</v>
      </c>
      <c r="M157" s="4">
        <v>164258.33333333331</v>
      </c>
      <c r="N157" s="4">
        <v>159283.33333333331</v>
      </c>
      <c r="O157" s="4">
        <v>159283.33333333331</v>
      </c>
      <c r="P157" s="4">
        <v>158608.33333333331</v>
      </c>
      <c r="Q157" s="4">
        <v>165566.66666666669</v>
      </c>
      <c r="R157" s="45">
        <f t="shared" si="4"/>
        <v>4.3871171123837795E-2</v>
      </c>
    </row>
    <row r="158" spans="1:18" ht="15" customHeight="1">
      <c r="A158" s="108" t="s">
        <v>679</v>
      </c>
      <c r="B158" s="109" t="s">
        <v>258</v>
      </c>
      <c r="C158" s="37" t="s">
        <v>256</v>
      </c>
      <c r="D158" s="37" t="s">
        <v>501</v>
      </c>
      <c r="E158" s="37" t="s">
        <v>3</v>
      </c>
      <c r="F158" s="4">
        <v>260075</v>
      </c>
      <c r="G158" s="4">
        <v>273641.66666666669</v>
      </c>
      <c r="H158" s="4">
        <v>276150</v>
      </c>
      <c r="I158" s="4">
        <v>258058.33333333331</v>
      </c>
      <c r="J158" s="4">
        <v>244566.66666666669</v>
      </c>
      <c r="K158" s="4">
        <v>245758.33333333331</v>
      </c>
      <c r="L158" s="4">
        <v>234816.66666666669</v>
      </c>
      <c r="M158" s="4">
        <v>227533.33333333331</v>
      </c>
      <c r="N158" s="4">
        <v>229691.66666666669</v>
      </c>
      <c r="O158" s="4">
        <v>233716.66666666669</v>
      </c>
      <c r="P158" s="4">
        <v>228550</v>
      </c>
      <c r="Q158" s="4">
        <v>230675</v>
      </c>
      <c r="R158" s="45">
        <f t="shared" si="4"/>
        <v>9.2977466637497262E-3</v>
      </c>
    </row>
    <row r="159" spans="1:18" ht="15" customHeight="1">
      <c r="A159" s="108" t="s">
        <v>680</v>
      </c>
      <c r="B159" s="109" t="s">
        <v>258</v>
      </c>
      <c r="C159" s="37" t="s">
        <v>7</v>
      </c>
      <c r="D159" s="37" t="s">
        <v>501</v>
      </c>
      <c r="E159" s="37" t="s">
        <v>13</v>
      </c>
      <c r="F159" s="4">
        <v>254991.66666666669</v>
      </c>
      <c r="G159" s="4">
        <v>253558.33333333331</v>
      </c>
      <c r="H159" s="4">
        <v>254975</v>
      </c>
      <c r="I159" s="4">
        <v>250433.33333333331</v>
      </c>
      <c r="J159" s="4">
        <v>205850</v>
      </c>
      <c r="K159" s="4">
        <v>210783.33333333331</v>
      </c>
      <c r="L159" s="4">
        <v>200175</v>
      </c>
      <c r="M159" s="4">
        <v>180408.33333333331</v>
      </c>
      <c r="N159" s="4">
        <v>184375</v>
      </c>
      <c r="O159" s="4">
        <v>183158.33333333331</v>
      </c>
      <c r="P159" s="4">
        <v>182750</v>
      </c>
      <c r="Q159" s="4">
        <v>182608.33333333331</v>
      </c>
      <c r="R159" s="45">
        <f t="shared" si="4"/>
        <v>-7.7519379844971854E-4</v>
      </c>
    </row>
    <row r="160" spans="1:18" ht="15" customHeight="1">
      <c r="A160" s="108" t="s">
        <v>681</v>
      </c>
      <c r="B160" s="109" t="s">
        <v>258</v>
      </c>
      <c r="C160" s="37" t="s">
        <v>682</v>
      </c>
      <c r="D160" s="37" t="s">
        <v>501</v>
      </c>
      <c r="E160" s="37" t="s">
        <v>13</v>
      </c>
      <c r="F160" s="4">
        <v>236125</v>
      </c>
      <c r="G160" s="4">
        <v>251116.66666666669</v>
      </c>
      <c r="H160" s="4">
        <v>249075</v>
      </c>
      <c r="I160" s="4">
        <v>238108.33333333331</v>
      </c>
      <c r="J160" s="4">
        <v>231825</v>
      </c>
      <c r="K160" s="4">
        <v>228958.33333333331</v>
      </c>
      <c r="L160" s="4">
        <v>213150</v>
      </c>
      <c r="M160" s="4">
        <v>205933.33333333331</v>
      </c>
      <c r="N160" s="4">
        <v>211458.33333333331</v>
      </c>
      <c r="O160" s="4">
        <v>210225</v>
      </c>
      <c r="P160" s="4">
        <v>209441.66666666669</v>
      </c>
      <c r="Q160" s="4">
        <v>215441.66666666669</v>
      </c>
      <c r="R160" s="45">
        <f t="shared" si="4"/>
        <v>2.8647594795686942E-2</v>
      </c>
    </row>
    <row r="161" spans="1:18" ht="15" customHeight="1">
      <c r="A161" s="108" t="s">
        <v>683</v>
      </c>
      <c r="B161" s="109" t="s">
        <v>258</v>
      </c>
      <c r="C161" s="37" t="s">
        <v>93</v>
      </c>
      <c r="D161" s="37" t="s">
        <v>501</v>
      </c>
      <c r="E161" s="37" t="s">
        <v>32</v>
      </c>
      <c r="F161" s="4">
        <v>265375</v>
      </c>
      <c r="G161" s="4">
        <v>271775</v>
      </c>
      <c r="H161" s="4">
        <v>277433.33333333331</v>
      </c>
      <c r="I161" s="4">
        <v>260658.33333333331</v>
      </c>
      <c r="J161" s="4">
        <v>243850</v>
      </c>
      <c r="K161" s="4">
        <v>252508.33333333331</v>
      </c>
      <c r="L161" s="4">
        <v>245983.33333333331</v>
      </c>
      <c r="M161" s="4">
        <v>238758.33333333331</v>
      </c>
      <c r="N161" s="4">
        <v>245150</v>
      </c>
      <c r="O161" s="4">
        <v>242391.66666666669</v>
      </c>
      <c r="P161" s="4">
        <v>243716.66666666669</v>
      </c>
      <c r="Q161" s="4">
        <v>252016.66666666669</v>
      </c>
      <c r="R161" s="45">
        <f t="shared" si="4"/>
        <v>3.4055939273746831E-2</v>
      </c>
    </row>
    <row r="162" spans="1:18" ht="15" customHeight="1">
      <c r="A162" s="108" t="s">
        <v>684</v>
      </c>
      <c r="B162" s="109" t="s">
        <v>258</v>
      </c>
      <c r="C162" s="37" t="s">
        <v>685</v>
      </c>
      <c r="D162" s="37" t="s">
        <v>501</v>
      </c>
      <c r="E162" s="37" t="s">
        <v>510</v>
      </c>
      <c r="F162" s="4">
        <v>175991.66666666669</v>
      </c>
      <c r="G162" s="4">
        <v>185408.33333333331</v>
      </c>
      <c r="H162" s="4">
        <v>182675</v>
      </c>
      <c r="I162" s="4">
        <v>167541.66666666669</v>
      </c>
      <c r="J162" s="4">
        <v>154016.66666666669</v>
      </c>
      <c r="K162" s="4">
        <v>142016.66666666669</v>
      </c>
      <c r="L162" s="4">
        <v>131658.33333333331</v>
      </c>
      <c r="M162" s="4">
        <v>119966.6666666667</v>
      </c>
      <c r="N162" s="4">
        <v>119891.6666666667</v>
      </c>
      <c r="O162" s="4">
        <v>125425</v>
      </c>
      <c r="P162" s="4">
        <v>125575</v>
      </c>
      <c r="Q162" s="4">
        <v>133858.33333333331</v>
      </c>
      <c r="R162" s="45">
        <f t="shared" si="4"/>
        <v>6.5963235782068988E-2</v>
      </c>
    </row>
    <row r="163" spans="1:18" ht="15" customHeight="1">
      <c r="A163" s="108" t="s">
        <v>686</v>
      </c>
      <c r="B163" s="109" t="s">
        <v>258</v>
      </c>
      <c r="C163" s="37" t="s">
        <v>116</v>
      </c>
      <c r="D163" s="37" t="s">
        <v>501</v>
      </c>
      <c r="E163" s="37" t="s">
        <v>510</v>
      </c>
      <c r="F163" s="4">
        <v>232500</v>
      </c>
      <c r="G163" s="4">
        <v>247175</v>
      </c>
      <c r="H163" s="4">
        <v>252766.66666666669</v>
      </c>
      <c r="I163" s="4">
        <v>228633.33333333331</v>
      </c>
      <c r="J163" s="4">
        <v>219708.33333333331</v>
      </c>
      <c r="K163" s="4">
        <v>220366.66666666669</v>
      </c>
      <c r="L163" s="4">
        <v>219733.33333333331</v>
      </c>
      <c r="M163" s="4">
        <v>209516.66666666669</v>
      </c>
      <c r="N163" s="4">
        <v>207933.33333333331</v>
      </c>
      <c r="O163" s="4">
        <v>217916.66666666669</v>
      </c>
      <c r="P163" s="4">
        <v>212208.33333333331</v>
      </c>
      <c r="Q163" s="4">
        <v>217350</v>
      </c>
      <c r="R163" s="45">
        <f t="shared" ref="R163:R194" si="5">(Q163-P163)/P163</f>
        <v>2.4229334380522379E-2</v>
      </c>
    </row>
    <row r="164" spans="1:18" ht="15" customHeight="1">
      <c r="A164" s="108" t="s">
        <v>687</v>
      </c>
      <c r="B164" s="109" t="s">
        <v>258</v>
      </c>
      <c r="C164" s="37" t="s">
        <v>688</v>
      </c>
      <c r="D164" s="37" t="s">
        <v>501</v>
      </c>
      <c r="E164" s="37" t="s">
        <v>510</v>
      </c>
      <c r="F164" s="4">
        <v>191458.33333333331</v>
      </c>
      <c r="G164" s="4">
        <v>200591.66666666669</v>
      </c>
      <c r="H164" s="4">
        <v>200258.33333333331</v>
      </c>
      <c r="I164" s="4">
        <v>184041.66666666669</v>
      </c>
      <c r="J164" s="4">
        <v>172233.33333333331</v>
      </c>
      <c r="K164" s="4">
        <v>156191.66666666669</v>
      </c>
      <c r="L164" s="4">
        <v>145325</v>
      </c>
      <c r="M164" s="4">
        <v>138475</v>
      </c>
      <c r="N164" s="4">
        <v>143600</v>
      </c>
      <c r="O164" s="4">
        <v>144008.33333333331</v>
      </c>
      <c r="P164" s="4">
        <v>140058.33333333331</v>
      </c>
      <c r="Q164" s="4">
        <v>145025</v>
      </c>
      <c r="R164" s="45">
        <f t="shared" si="5"/>
        <v>3.546141488665451E-2</v>
      </c>
    </row>
    <row r="165" spans="1:18" ht="15" customHeight="1">
      <c r="A165" s="108" t="s">
        <v>689</v>
      </c>
      <c r="B165" s="109" t="s">
        <v>258</v>
      </c>
      <c r="C165" s="37" t="s">
        <v>138</v>
      </c>
      <c r="D165" s="37" t="s">
        <v>501</v>
      </c>
      <c r="E165" s="37" t="s">
        <v>13</v>
      </c>
      <c r="F165" s="4">
        <v>240683.33333333331</v>
      </c>
      <c r="G165" s="4">
        <v>246400</v>
      </c>
      <c r="H165" s="4">
        <v>246183.33333333331</v>
      </c>
      <c r="I165" s="4">
        <v>228291.66666666669</v>
      </c>
      <c r="J165" s="4">
        <v>223875</v>
      </c>
      <c r="K165" s="4">
        <v>216758.33333333331</v>
      </c>
      <c r="L165" s="4">
        <v>209816.66666666669</v>
      </c>
      <c r="M165" s="4">
        <v>196541.66666666669</v>
      </c>
      <c r="N165" s="4">
        <v>201841.66666666669</v>
      </c>
      <c r="O165" s="4">
        <v>196875</v>
      </c>
      <c r="P165" s="4">
        <v>197616.66666666669</v>
      </c>
      <c r="Q165" s="4">
        <v>195950</v>
      </c>
      <c r="R165" s="45">
        <f t="shared" si="5"/>
        <v>-8.4338365522477147E-3</v>
      </c>
    </row>
    <row r="166" spans="1:18" ht="15" customHeight="1">
      <c r="A166" s="108" t="s">
        <v>690</v>
      </c>
      <c r="B166" s="109" t="s">
        <v>258</v>
      </c>
      <c r="C166" s="37" t="s">
        <v>161</v>
      </c>
      <c r="D166" s="37" t="s">
        <v>501</v>
      </c>
      <c r="E166" s="37" t="s">
        <v>510</v>
      </c>
      <c r="F166" s="4">
        <v>249250</v>
      </c>
      <c r="G166" s="4">
        <v>254691.66666666669</v>
      </c>
      <c r="H166" s="4">
        <v>252725</v>
      </c>
      <c r="I166" s="4">
        <v>227525</v>
      </c>
      <c r="J166" s="4">
        <v>209141.66666666669</v>
      </c>
      <c r="K166" s="4">
        <v>196958.33333333331</v>
      </c>
      <c r="L166" s="4">
        <v>186016.66666666669</v>
      </c>
      <c r="M166" s="4">
        <v>175675</v>
      </c>
      <c r="N166" s="4">
        <v>178441.66666666669</v>
      </c>
      <c r="O166" s="4">
        <v>175675</v>
      </c>
      <c r="P166" s="4">
        <v>182308.33333333331</v>
      </c>
      <c r="Q166" s="4">
        <v>193116.66666666669</v>
      </c>
      <c r="R166" s="45">
        <f t="shared" si="5"/>
        <v>5.9286008136399178E-2</v>
      </c>
    </row>
    <row r="167" spans="1:18" ht="15" customHeight="1">
      <c r="A167" s="108" t="s">
        <v>691</v>
      </c>
      <c r="B167" s="109" t="s">
        <v>258</v>
      </c>
      <c r="C167" s="37" t="s">
        <v>155</v>
      </c>
      <c r="D167" s="37" t="s">
        <v>501</v>
      </c>
      <c r="E167" s="37" t="s">
        <v>32</v>
      </c>
      <c r="F167" s="4">
        <v>393450</v>
      </c>
      <c r="G167" s="4">
        <v>398116.66666666669</v>
      </c>
      <c r="H167" s="4">
        <v>393450</v>
      </c>
      <c r="I167" s="4">
        <v>376641.66666666669</v>
      </c>
      <c r="J167" s="4">
        <v>357200</v>
      </c>
      <c r="K167" s="4">
        <v>339000</v>
      </c>
      <c r="L167" s="4">
        <v>316100</v>
      </c>
      <c r="M167" s="4">
        <v>302616.66666666669</v>
      </c>
      <c r="N167" s="4">
        <v>314216.66666666669</v>
      </c>
      <c r="O167" s="4">
        <v>315166.66666666669</v>
      </c>
      <c r="P167" s="4">
        <v>315241.66666666669</v>
      </c>
      <c r="Q167" s="4">
        <v>320775</v>
      </c>
      <c r="R167" s="45">
        <f t="shared" si="5"/>
        <v>1.7552671231066051E-2</v>
      </c>
    </row>
    <row r="168" spans="1:18" ht="15" customHeight="1">
      <c r="A168" s="108" t="s">
        <v>692</v>
      </c>
      <c r="B168" s="109" t="s">
        <v>258</v>
      </c>
      <c r="C168" s="37" t="s">
        <v>108</v>
      </c>
      <c r="D168" s="37" t="s">
        <v>501</v>
      </c>
      <c r="E168" s="37" t="s">
        <v>13</v>
      </c>
      <c r="F168" s="4">
        <v>547175</v>
      </c>
      <c r="G168" s="4">
        <v>577175</v>
      </c>
      <c r="H168" s="4">
        <v>566866.66666666663</v>
      </c>
      <c r="I168" s="4">
        <v>531041.66666666663</v>
      </c>
      <c r="J168" s="4">
        <v>490525</v>
      </c>
      <c r="K168" s="4">
        <v>466583.33333333331</v>
      </c>
      <c r="L168" s="4">
        <v>410225</v>
      </c>
      <c r="M168" s="4">
        <v>396275</v>
      </c>
      <c r="N168" s="4">
        <v>410550</v>
      </c>
      <c r="O168" s="4">
        <v>437175</v>
      </c>
      <c r="P168" s="4">
        <v>417058.33333333331</v>
      </c>
      <c r="Q168" s="4">
        <v>418758.33333333331</v>
      </c>
      <c r="R168" s="45">
        <f t="shared" si="5"/>
        <v>4.0761684017024003E-3</v>
      </c>
    </row>
    <row r="169" spans="1:18" ht="15" customHeight="1">
      <c r="A169" s="108" t="s">
        <v>693</v>
      </c>
      <c r="B169" s="109" t="s">
        <v>258</v>
      </c>
      <c r="C169" s="37" t="s">
        <v>74</v>
      </c>
      <c r="D169" s="37" t="s">
        <v>501</v>
      </c>
      <c r="E169" s="37" t="s">
        <v>3</v>
      </c>
      <c r="F169" s="4">
        <v>259966.66666666669</v>
      </c>
      <c r="G169" s="4">
        <v>269933.33333333331</v>
      </c>
      <c r="H169" s="4">
        <v>274958.33333333331</v>
      </c>
      <c r="I169" s="4">
        <v>260308.33333333331</v>
      </c>
      <c r="J169" s="4">
        <v>254841.66666666669</v>
      </c>
      <c r="K169" s="4">
        <v>236658.33333333331</v>
      </c>
      <c r="L169" s="4">
        <v>233658.33333333331</v>
      </c>
      <c r="M169" s="4">
        <v>230191.66666666669</v>
      </c>
      <c r="N169" s="4">
        <v>231916.66666666669</v>
      </c>
      <c r="O169" s="4">
        <v>233675</v>
      </c>
      <c r="P169" s="4">
        <v>231933.33333333331</v>
      </c>
      <c r="Q169" s="4">
        <v>236125</v>
      </c>
      <c r="R169" s="45">
        <f t="shared" si="5"/>
        <v>1.8072722046565189E-2</v>
      </c>
    </row>
    <row r="170" spans="1:18" ht="15" customHeight="1">
      <c r="A170" s="108" t="s">
        <v>694</v>
      </c>
      <c r="B170" s="109" t="s">
        <v>258</v>
      </c>
      <c r="C170" s="37" t="s">
        <v>126</v>
      </c>
      <c r="D170" s="37" t="s">
        <v>501</v>
      </c>
      <c r="E170" s="37" t="s">
        <v>3</v>
      </c>
      <c r="F170" s="4">
        <v>261333.33333333331</v>
      </c>
      <c r="G170" s="4">
        <v>274116.66666666669</v>
      </c>
      <c r="H170" s="4">
        <v>273191.66666666669</v>
      </c>
      <c r="I170" s="4">
        <v>260525</v>
      </c>
      <c r="J170" s="4">
        <v>260658.33333333331</v>
      </c>
      <c r="K170" s="4">
        <v>254025</v>
      </c>
      <c r="L170" s="4">
        <v>249500</v>
      </c>
      <c r="M170" s="4">
        <v>244425</v>
      </c>
      <c r="N170" s="4">
        <v>244716.66666666669</v>
      </c>
      <c r="O170" s="4">
        <v>246925</v>
      </c>
      <c r="P170" s="4">
        <v>252325</v>
      </c>
      <c r="Q170" s="4">
        <v>253883.33333333331</v>
      </c>
      <c r="R170" s="45">
        <f t="shared" si="5"/>
        <v>6.1758974867068819E-3</v>
      </c>
    </row>
    <row r="171" spans="1:18" ht="15" customHeight="1">
      <c r="A171" s="108" t="s">
        <v>695</v>
      </c>
      <c r="B171" s="109" t="s">
        <v>258</v>
      </c>
      <c r="C171" s="37" t="s">
        <v>115</v>
      </c>
      <c r="D171" s="37" t="s">
        <v>501</v>
      </c>
      <c r="E171" s="37" t="s">
        <v>32</v>
      </c>
      <c r="F171" s="4">
        <v>334883.33333333331</v>
      </c>
      <c r="G171" s="4">
        <v>355008.33333333331</v>
      </c>
      <c r="H171" s="4">
        <v>353608.33333333331</v>
      </c>
      <c r="I171" s="4">
        <v>337600</v>
      </c>
      <c r="J171" s="4">
        <v>326175</v>
      </c>
      <c r="K171" s="4">
        <v>281108.33333333331</v>
      </c>
      <c r="L171" s="4">
        <v>269883.33333333331</v>
      </c>
      <c r="M171" s="4">
        <v>257166.66666666669</v>
      </c>
      <c r="N171" s="4">
        <v>255808.33333333331</v>
      </c>
      <c r="O171" s="4">
        <v>258091.66666666669</v>
      </c>
      <c r="P171" s="4">
        <v>264691.66666666669</v>
      </c>
      <c r="Q171" s="4">
        <v>262175</v>
      </c>
      <c r="R171" s="45">
        <f t="shared" si="5"/>
        <v>-9.5079180178195485E-3</v>
      </c>
    </row>
    <row r="172" spans="1:18" ht="15" customHeight="1">
      <c r="A172" s="108" t="s">
        <v>696</v>
      </c>
      <c r="B172" s="109" t="s">
        <v>258</v>
      </c>
      <c r="C172" s="37" t="s">
        <v>159</v>
      </c>
      <c r="D172" s="37" t="s">
        <v>501</v>
      </c>
      <c r="E172" s="37" t="s">
        <v>32</v>
      </c>
      <c r="F172" s="4">
        <v>749116.66666666663</v>
      </c>
      <c r="G172" s="4">
        <v>773183.33333333337</v>
      </c>
      <c r="H172" s="4">
        <v>747058.33333333337</v>
      </c>
      <c r="I172" s="4">
        <v>709008.33333333337</v>
      </c>
      <c r="J172" s="4">
        <v>645541.66666666663</v>
      </c>
      <c r="K172" s="4">
        <v>608358.33333333337</v>
      </c>
      <c r="L172" s="4">
        <v>599966.66666666663</v>
      </c>
      <c r="M172" s="4">
        <v>546208.33333333337</v>
      </c>
      <c r="N172" s="4">
        <v>573716.66666666663</v>
      </c>
      <c r="O172" s="4">
        <v>586108.33333333337</v>
      </c>
      <c r="P172" s="4">
        <v>559966.66666666663</v>
      </c>
      <c r="Q172" s="4">
        <v>573966.66666666663</v>
      </c>
      <c r="R172" s="45">
        <f t="shared" si="5"/>
        <v>2.5001488183820468E-2</v>
      </c>
    </row>
    <row r="173" spans="1:18" ht="15" customHeight="1">
      <c r="A173" s="108" t="s">
        <v>697</v>
      </c>
      <c r="B173" s="109" t="s">
        <v>258</v>
      </c>
      <c r="C173" s="37" t="s">
        <v>142</v>
      </c>
      <c r="D173" s="37" t="s">
        <v>501</v>
      </c>
      <c r="E173" s="37" t="s">
        <v>32</v>
      </c>
      <c r="F173" s="4">
        <v>435791.66666666669</v>
      </c>
      <c r="G173" s="4">
        <v>475608.33333333331</v>
      </c>
      <c r="H173" s="4">
        <v>478025</v>
      </c>
      <c r="I173" s="4">
        <v>439016.66666666669</v>
      </c>
      <c r="J173" s="4">
        <v>426075</v>
      </c>
      <c r="K173" s="4">
        <v>406500</v>
      </c>
      <c r="L173" s="4">
        <v>371408.33333333331</v>
      </c>
      <c r="M173" s="4">
        <v>355925</v>
      </c>
      <c r="N173" s="4">
        <v>364558.33333333331</v>
      </c>
      <c r="O173" s="4">
        <v>349600</v>
      </c>
      <c r="P173" s="4">
        <v>353158.33333333331</v>
      </c>
      <c r="Q173" s="4">
        <v>360666.66666666669</v>
      </c>
      <c r="R173" s="45">
        <f t="shared" si="5"/>
        <v>2.1260529979471074E-2</v>
      </c>
    </row>
    <row r="174" spans="1:18" ht="15" customHeight="1">
      <c r="A174" s="108" t="s">
        <v>698</v>
      </c>
      <c r="B174" s="109" t="s">
        <v>258</v>
      </c>
      <c r="C174" s="37" t="s">
        <v>92</v>
      </c>
      <c r="D174" s="37" t="s">
        <v>501</v>
      </c>
      <c r="E174" s="37" t="s">
        <v>13</v>
      </c>
      <c r="F174" s="4">
        <v>253583.33333333331</v>
      </c>
      <c r="G174" s="4">
        <v>246933.33333333331</v>
      </c>
      <c r="H174" s="4">
        <v>252191.66666666669</v>
      </c>
      <c r="I174" s="4">
        <v>239908.33333333331</v>
      </c>
      <c r="J174" s="4">
        <v>225800</v>
      </c>
      <c r="K174" s="4">
        <v>228783.33333333331</v>
      </c>
      <c r="L174" s="4">
        <v>219991.66666666669</v>
      </c>
      <c r="M174" s="4">
        <v>203083.33333333331</v>
      </c>
      <c r="N174" s="4">
        <v>216166.66666666669</v>
      </c>
      <c r="O174" s="4">
        <v>218950</v>
      </c>
      <c r="P174" s="4">
        <v>211641.66666666669</v>
      </c>
      <c r="Q174" s="4">
        <v>211433.33333333331</v>
      </c>
      <c r="R174" s="45">
        <f t="shared" si="5"/>
        <v>-9.8436823246858497E-4</v>
      </c>
    </row>
    <row r="175" spans="1:18" ht="15" customHeight="1">
      <c r="A175" s="108" t="s">
        <v>699</v>
      </c>
      <c r="B175" s="109" t="s">
        <v>258</v>
      </c>
      <c r="C175" s="37" t="s">
        <v>700</v>
      </c>
      <c r="D175" s="37" t="s">
        <v>501</v>
      </c>
      <c r="E175" s="37" t="s">
        <v>510</v>
      </c>
      <c r="F175" s="4">
        <v>175041.66666666669</v>
      </c>
      <c r="G175" s="4">
        <v>180550</v>
      </c>
      <c r="H175" s="4">
        <v>182558.33333333331</v>
      </c>
      <c r="I175" s="4">
        <v>172191.66666666669</v>
      </c>
      <c r="J175" s="4">
        <v>161866.66666666669</v>
      </c>
      <c r="K175" s="4">
        <v>156150</v>
      </c>
      <c r="L175" s="4">
        <v>146333.33333333331</v>
      </c>
      <c r="M175" s="4">
        <v>139541.66666666669</v>
      </c>
      <c r="N175" s="4">
        <v>136900</v>
      </c>
      <c r="O175" s="4">
        <v>133091.66666666669</v>
      </c>
      <c r="P175" s="4">
        <v>131275</v>
      </c>
      <c r="Q175" s="4">
        <v>137841.66666666669</v>
      </c>
      <c r="R175" s="45">
        <f t="shared" si="5"/>
        <v>5.002221799022423E-2</v>
      </c>
    </row>
    <row r="176" spans="1:18" ht="15" customHeight="1">
      <c r="A176" s="108" t="s">
        <v>701</v>
      </c>
      <c r="B176" s="109" t="s">
        <v>258</v>
      </c>
      <c r="C176" s="37" t="s">
        <v>702</v>
      </c>
      <c r="D176" s="37" t="s">
        <v>501</v>
      </c>
      <c r="E176" s="37" t="s">
        <v>3</v>
      </c>
      <c r="F176" s="4">
        <v>365133.33333333331</v>
      </c>
      <c r="G176" s="4">
        <v>379500</v>
      </c>
      <c r="H176" s="4">
        <v>377375</v>
      </c>
      <c r="I176" s="4">
        <v>362741.66666666669</v>
      </c>
      <c r="J176" s="4">
        <v>351325</v>
      </c>
      <c r="K176" s="4">
        <v>345491.66666666669</v>
      </c>
      <c r="L176" s="4">
        <v>336750</v>
      </c>
      <c r="M176" s="4">
        <v>335841.66666666669</v>
      </c>
      <c r="N176" s="4">
        <v>325975</v>
      </c>
      <c r="O176" s="4">
        <v>330958.33333333331</v>
      </c>
      <c r="P176" s="4">
        <v>328008.33333333331</v>
      </c>
      <c r="Q176" s="4">
        <v>341758.33333333331</v>
      </c>
      <c r="R176" s="45">
        <f t="shared" si="5"/>
        <v>4.1919666675135289E-2</v>
      </c>
    </row>
    <row r="177" spans="1:18" ht="15" customHeight="1">
      <c r="A177" s="108" t="s">
        <v>703</v>
      </c>
      <c r="B177" s="109" t="s">
        <v>258</v>
      </c>
      <c r="C177" s="37" t="s">
        <v>166</v>
      </c>
      <c r="D177" s="37" t="s">
        <v>501</v>
      </c>
      <c r="E177" s="37" t="s">
        <v>32</v>
      </c>
      <c r="F177" s="4">
        <v>527050</v>
      </c>
      <c r="G177" s="4">
        <v>529908.33333333337</v>
      </c>
      <c r="H177" s="4">
        <v>511700</v>
      </c>
      <c r="I177" s="4">
        <v>477033.33333333331</v>
      </c>
      <c r="J177" s="4">
        <v>452466.66666666669</v>
      </c>
      <c r="K177" s="4">
        <v>461866.66666666669</v>
      </c>
      <c r="L177" s="4">
        <v>437291.66666666669</v>
      </c>
      <c r="M177" s="4">
        <v>397966.66666666669</v>
      </c>
      <c r="N177" s="4">
        <v>425900</v>
      </c>
      <c r="O177" s="4">
        <v>412833.33333333331</v>
      </c>
      <c r="P177" s="4">
        <v>418966.66666666669</v>
      </c>
      <c r="Q177" s="4">
        <v>429066.66666666669</v>
      </c>
      <c r="R177" s="45">
        <f t="shared" si="5"/>
        <v>2.4106929747792185E-2</v>
      </c>
    </row>
    <row r="178" spans="1:18" ht="15" customHeight="1">
      <c r="A178" s="108" t="s">
        <v>704</v>
      </c>
      <c r="B178" s="109" t="s">
        <v>258</v>
      </c>
      <c r="C178" s="37" t="s">
        <v>705</v>
      </c>
      <c r="D178" s="37" t="s">
        <v>501</v>
      </c>
      <c r="E178" s="37" t="s">
        <v>13</v>
      </c>
      <c r="F178" s="4"/>
      <c r="G178" s="4"/>
      <c r="H178" s="4"/>
      <c r="I178" s="4"/>
      <c r="J178" s="4"/>
      <c r="K178" s="4">
        <v>451800</v>
      </c>
      <c r="L178" s="4">
        <v>428275</v>
      </c>
      <c r="M178" s="4">
        <v>387250</v>
      </c>
      <c r="N178" s="4">
        <v>409450</v>
      </c>
      <c r="O178" s="4">
        <v>418775</v>
      </c>
      <c r="P178" s="4">
        <v>437608.33333333331</v>
      </c>
      <c r="Q178" s="4">
        <v>421950</v>
      </c>
      <c r="R178" s="45">
        <f t="shared" si="5"/>
        <v>-3.5781615980804711E-2</v>
      </c>
    </row>
    <row r="179" spans="1:18" ht="15" customHeight="1">
      <c r="A179" s="108" t="s">
        <v>706</v>
      </c>
      <c r="B179" s="109" t="s">
        <v>258</v>
      </c>
      <c r="C179" s="37" t="s">
        <v>43</v>
      </c>
      <c r="D179" s="37" t="s">
        <v>501</v>
      </c>
      <c r="E179" s="37" t="s">
        <v>13</v>
      </c>
      <c r="F179" s="4">
        <v>247666.66666666669</v>
      </c>
      <c r="G179" s="4">
        <v>254016.66666666669</v>
      </c>
      <c r="H179" s="4">
        <v>261133.33333333331</v>
      </c>
      <c r="I179" s="4">
        <v>247875</v>
      </c>
      <c r="J179" s="4">
        <v>222566.66666666669</v>
      </c>
      <c r="K179" s="4">
        <v>221425</v>
      </c>
      <c r="L179" s="4">
        <v>208900</v>
      </c>
      <c r="M179" s="4">
        <v>195808.33333333331</v>
      </c>
      <c r="N179" s="4">
        <v>200766.66666666669</v>
      </c>
      <c r="O179" s="4">
        <v>207925</v>
      </c>
      <c r="P179" s="4">
        <v>205666.66666666669</v>
      </c>
      <c r="Q179" s="4">
        <v>207941.66666666669</v>
      </c>
      <c r="R179" s="45">
        <f t="shared" si="5"/>
        <v>1.106158833063209E-2</v>
      </c>
    </row>
    <row r="180" spans="1:18" ht="15" customHeight="1">
      <c r="A180" s="108" t="s">
        <v>707</v>
      </c>
      <c r="B180" s="109" t="s">
        <v>258</v>
      </c>
      <c r="C180" s="37" t="s">
        <v>107</v>
      </c>
      <c r="D180" s="37" t="s">
        <v>501</v>
      </c>
      <c r="E180" s="37" t="s">
        <v>3</v>
      </c>
      <c r="F180" s="4">
        <v>305950</v>
      </c>
      <c r="G180" s="4">
        <v>314183.33333333331</v>
      </c>
      <c r="H180" s="4">
        <v>319625</v>
      </c>
      <c r="I180" s="4">
        <v>312208.33333333331</v>
      </c>
      <c r="J180" s="4">
        <v>294075</v>
      </c>
      <c r="K180" s="4">
        <v>291166.66666666669</v>
      </c>
      <c r="L180" s="4">
        <v>280700</v>
      </c>
      <c r="M180" s="4">
        <v>279791.66666666669</v>
      </c>
      <c r="N180" s="4">
        <v>275725</v>
      </c>
      <c r="O180" s="4">
        <v>273975</v>
      </c>
      <c r="P180" s="4">
        <v>273216.66666666669</v>
      </c>
      <c r="Q180" s="4">
        <v>273041.66666666669</v>
      </c>
      <c r="R180" s="45">
        <f t="shared" si="5"/>
        <v>-6.4051729396693701E-4</v>
      </c>
    </row>
    <row r="181" spans="1:18" ht="15" customHeight="1">
      <c r="A181" s="108" t="s">
        <v>708</v>
      </c>
      <c r="B181" s="109" t="s">
        <v>258</v>
      </c>
      <c r="C181" s="37" t="s">
        <v>111</v>
      </c>
      <c r="D181" s="37" t="s">
        <v>501</v>
      </c>
      <c r="E181" s="37" t="s">
        <v>32</v>
      </c>
      <c r="F181" s="4">
        <v>458241.66666666669</v>
      </c>
      <c r="G181" s="4">
        <v>486508.33333333331</v>
      </c>
      <c r="H181" s="4">
        <v>487100</v>
      </c>
      <c r="I181" s="4">
        <v>479316.66666666669</v>
      </c>
      <c r="J181" s="4">
        <v>442933.33333333331</v>
      </c>
      <c r="K181" s="4">
        <v>469241.66666666669</v>
      </c>
      <c r="L181" s="4">
        <v>443808.33333333331</v>
      </c>
      <c r="M181" s="4">
        <v>413616.66666666669</v>
      </c>
      <c r="N181" s="4">
        <v>429841.66666666669</v>
      </c>
      <c r="O181" s="4">
        <v>433516.66666666669</v>
      </c>
      <c r="P181" s="4">
        <v>445716.66666666669</v>
      </c>
      <c r="Q181" s="4">
        <v>447383.33333333331</v>
      </c>
      <c r="R181" s="45">
        <f t="shared" si="5"/>
        <v>3.7392962644429446E-3</v>
      </c>
    </row>
    <row r="182" spans="1:18" ht="15" customHeight="1">
      <c r="A182" s="108" t="s">
        <v>709</v>
      </c>
      <c r="B182" s="109" t="s">
        <v>258</v>
      </c>
      <c r="C182" s="37" t="s">
        <v>165</v>
      </c>
      <c r="D182" s="37" t="s">
        <v>501</v>
      </c>
      <c r="E182" s="37" t="s">
        <v>510</v>
      </c>
      <c r="F182" s="4">
        <v>247866.66666666669</v>
      </c>
      <c r="G182" s="4">
        <v>260483.33333333331</v>
      </c>
      <c r="H182" s="4">
        <v>263700</v>
      </c>
      <c r="I182" s="4">
        <v>244000</v>
      </c>
      <c r="J182" s="4">
        <v>234333.33333333331</v>
      </c>
      <c r="K182" s="4">
        <v>243600</v>
      </c>
      <c r="L182" s="4">
        <v>235758.33333333331</v>
      </c>
      <c r="M182" s="4">
        <v>227083.33333333331</v>
      </c>
      <c r="N182" s="4">
        <v>228850</v>
      </c>
      <c r="O182" s="4">
        <v>237091.66666666669</v>
      </c>
      <c r="P182" s="4">
        <v>236516.66666666669</v>
      </c>
      <c r="Q182" s="4">
        <v>237700</v>
      </c>
      <c r="R182" s="45">
        <f t="shared" si="5"/>
        <v>5.0031710238882974E-3</v>
      </c>
    </row>
    <row r="183" spans="1:18" ht="15" customHeight="1">
      <c r="A183" s="108" t="s">
        <v>710</v>
      </c>
      <c r="B183" s="109" t="s">
        <v>258</v>
      </c>
      <c r="C183" s="37" t="s">
        <v>85</v>
      </c>
      <c r="D183" s="37" t="s">
        <v>501</v>
      </c>
      <c r="E183" s="37" t="s">
        <v>32</v>
      </c>
      <c r="F183" s="4">
        <v>339875</v>
      </c>
      <c r="G183" s="4">
        <v>348683.33333333331</v>
      </c>
      <c r="H183" s="4">
        <v>363208.33333333331</v>
      </c>
      <c r="I183" s="4">
        <v>365433.33333333331</v>
      </c>
      <c r="J183" s="4">
        <v>332675</v>
      </c>
      <c r="K183" s="4">
        <v>313766.66666666669</v>
      </c>
      <c r="L183" s="4">
        <v>297158.33333333331</v>
      </c>
      <c r="M183" s="4">
        <v>284258.33333333331</v>
      </c>
      <c r="N183" s="4">
        <v>282650</v>
      </c>
      <c r="O183" s="4">
        <v>277733.33333333331</v>
      </c>
      <c r="P183" s="4">
        <v>284391.66666666669</v>
      </c>
      <c r="Q183" s="4">
        <v>275575</v>
      </c>
      <c r="R183" s="45">
        <f t="shared" si="5"/>
        <v>-3.1001846045653068E-2</v>
      </c>
    </row>
    <row r="184" spans="1:18" ht="15" customHeight="1">
      <c r="A184" s="108" t="s">
        <v>711</v>
      </c>
      <c r="B184" s="109" t="s">
        <v>258</v>
      </c>
      <c r="C184" s="37" t="s">
        <v>163</v>
      </c>
      <c r="D184" s="37" t="s">
        <v>501</v>
      </c>
      <c r="E184" s="37" t="s">
        <v>32</v>
      </c>
      <c r="F184" s="4">
        <v>420725</v>
      </c>
      <c r="G184" s="4">
        <v>432683.33333333331</v>
      </c>
      <c r="H184" s="4">
        <v>420766.66666666669</v>
      </c>
      <c r="I184" s="4">
        <v>403841.66666666669</v>
      </c>
      <c r="J184" s="4">
        <v>383033.33333333331</v>
      </c>
      <c r="K184" s="4">
        <v>373733.33333333331</v>
      </c>
      <c r="L184" s="4">
        <v>354450</v>
      </c>
      <c r="M184" s="4">
        <v>326916.66666666669</v>
      </c>
      <c r="N184" s="4">
        <v>337425</v>
      </c>
      <c r="O184" s="4">
        <v>349125</v>
      </c>
      <c r="P184" s="4">
        <v>350141.66666666669</v>
      </c>
      <c r="Q184" s="4">
        <v>345141.66666666669</v>
      </c>
      <c r="R184" s="45">
        <f t="shared" si="5"/>
        <v>-1.4279934312302163E-2</v>
      </c>
    </row>
    <row r="185" spans="1:18" ht="15" customHeight="1">
      <c r="A185" s="108" t="s">
        <v>712</v>
      </c>
      <c r="B185" s="109" t="s">
        <v>258</v>
      </c>
      <c r="C185" s="37" t="s">
        <v>140</v>
      </c>
      <c r="D185" s="37" t="s">
        <v>501</v>
      </c>
      <c r="E185" s="37" t="s">
        <v>32</v>
      </c>
      <c r="F185" s="4">
        <v>402766.66666666669</v>
      </c>
      <c r="G185" s="4">
        <v>399325</v>
      </c>
      <c r="H185" s="4">
        <v>396733.33333333331</v>
      </c>
      <c r="I185" s="4">
        <v>384966.66666666669</v>
      </c>
      <c r="J185" s="4">
        <v>367683.33333333331</v>
      </c>
      <c r="K185" s="4">
        <v>328916.66666666669</v>
      </c>
      <c r="L185" s="4">
        <v>317516.66666666669</v>
      </c>
      <c r="M185" s="4">
        <v>296416.66666666669</v>
      </c>
      <c r="N185" s="4">
        <v>310216.66666666669</v>
      </c>
      <c r="O185" s="4">
        <v>310858.33333333331</v>
      </c>
      <c r="P185" s="4">
        <v>310083.33333333331</v>
      </c>
      <c r="Q185" s="4">
        <v>307591.66666666669</v>
      </c>
      <c r="R185" s="45">
        <f t="shared" si="5"/>
        <v>-8.0354743348560968E-3</v>
      </c>
    </row>
    <row r="186" spans="1:18" ht="15" customHeight="1">
      <c r="A186" s="108" t="s">
        <v>713</v>
      </c>
      <c r="B186" s="109" t="s">
        <v>258</v>
      </c>
      <c r="C186" s="37" t="s">
        <v>84</v>
      </c>
      <c r="D186" s="37" t="s">
        <v>501</v>
      </c>
      <c r="E186" s="37" t="s">
        <v>510</v>
      </c>
      <c r="F186" s="4">
        <v>214750</v>
      </c>
      <c r="G186" s="4">
        <v>224033.33333333331</v>
      </c>
      <c r="H186" s="4">
        <v>230491.66666666669</v>
      </c>
      <c r="I186" s="4">
        <v>218033.33333333331</v>
      </c>
      <c r="J186" s="4">
        <v>197300</v>
      </c>
      <c r="K186" s="4">
        <v>195958.33333333331</v>
      </c>
      <c r="L186" s="4">
        <v>185966.66666666669</v>
      </c>
      <c r="M186" s="4">
        <v>174308.33333333331</v>
      </c>
      <c r="N186" s="4">
        <v>176966.66666666669</v>
      </c>
      <c r="O186" s="4">
        <v>175841.66666666669</v>
      </c>
      <c r="P186" s="4">
        <v>172041.66666666669</v>
      </c>
      <c r="Q186" s="4">
        <v>180658.33333333331</v>
      </c>
      <c r="R186" s="45">
        <f t="shared" si="5"/>
        <v>5.008476628723639E-2</v>
      </c>
    </row>
    <row r="187" spans="1:18" ht="15" customHeight="1">
      <c r="A187" s="108" t="s">
        <v>714</v>
      </c>
      <c r="B187" s="109" t="s">
        <v>258</v>
      </c>
      <c r="C187" s="37" t="s">
        <v>715</v>
      </c>
      <c r="D187" s="37" t="s">
        <v>501</v>
      </c>
      <c r="E187" s="37" t="s">
        <v>3</v>
      </c>
      <c r="F187" s="4">
        <v>255091.66666666669</v>
      </c>
      <c r="G187" s="4">
        <v>270825</v>
      </c>
      <c r="H187" s="4">
        <v>270125</v>
      </c>
      <c r="I187" s="4">
        <v>256108.33333333331</v>
      </c>
      <c r="J187" s="4">
        <v>241583.33333333331</v>
      </c>
      <c r="K187" s="4">
        <v>244308.33333333331</v>
      </c>
      <c r="L187" s="4">
        <v>231600</v>
      </c>
      <c r="M187" s="4">
        <v>224525</v>
      </c>
      <c r="N187" s="4">
        <v>229000</v>
      </c>
      <c r="O187" s="4">
        <v>230533.33333333331</v>
      </c>
      <c r="P187" s="4">
        <v>225391.66666666669</v>
      </c>
      <c r="Q187" s="4">
        <v>226983.33333333331</v>
      </c>
      <c r="R187" s="45">
        <f t="shared" si="5"/>
        <v>7.0617813435869163E-3</v>
      </c>
    </row>
    <row r="188" spans="1:18" ht="15" customHeight="1">
      <c r="A188" s="108" t="s">
        <v>716</v>
      </c>
      <c r="B188" s="109" t="s">
        <v>258</v>
      </c>
      <c r="C188" s="37" t="s">
        <v>717</v>
      </c>
      <c r="D188" s="37" t="s">
        <v>501</v>
      </c>
      <c r="E188" s="37" t="s">
        <v>5</v>
      </c>
      <c r="F188" s="4">
        <v>351741.66666666669</v>
      </c>
      <c r="G188" s="4">
        <v>378933.33333333331</v>
      </c>
      <c r="H188" s="4">
        <v>365916.66666666669</v>
      </c>
      <c r="I188" s="4">
        <v>362525</v>
      </c>
      <c r="J188" s="4">
        <v>316800</v>
      </c>
      <c r="K188" s="4">
        <v>308350</v>
      </c>
      <c r="L188" s="4">
        <v>297650</v>
      </c>
      <c r="M188" s="4">
        <v>299116.66666666669</v>
      </c>
      <c r="N188" s="4">
        <v>315158.33333333331</v>
      </c>
      <c r="O188" s="4">
        <v>320300</v>
      </c>
      <c r="P188" s="4">
        <v>319783.33333333331</v>
      </c>
      <c r="Q188" s="4">
        <v>328525</v>
      </c>
      <c r="R188" s="45">
        <f t="shared" si="5"/>
        <v>2.7336217230416491E-2</v>
      </c>
    </row>
    <row r="189" spans="1:18" ht="15" customHeight="1">
      <c r="A189" s="108" t="s">
        <v>718</v>
      </c>
      <c r="B189" s="109" t="s">
        <v>258</v>
      </c>
      <c r="C189" s="37" t="s">
        <v>158</v>
      </c>
      <c r="D189" s="37" t="s">
        <v>501</v>
      </c>
      <c r="E189" s="37" t="s">
        <v>32</v>
      </c>
      <c r="F189" s="4">
        <v>793525</v>
      </c>
      <c r="G189" s="4">
        <v>796825</v>
      </c>
      <c r="H189" s="4">
        <v>826191.66666666663</v>
      </c>
      <c r="I189" s="4">
        <v>803041.66666666663</v>
      </c>
      <c r="J189" s="4">
        <v>687616.66666666663</v>
      </c>
      <c r="K189" s="4">
        <v>584716.66666666663</v>
      </c>
      <c r="L189" s="4">
        <v>577366.66666666663</v>
      </c>
      <c r="M189" s="4">
        <v>553150</v>
      </c>
      <c r="N189" s="4">
        <v>580900</v>
      </c>
      <c r="O189" s="4">
        <v>603475</v>
      </c>
      <c r="P189" s="4">
        <v>582233.33333333337</v>
      </c>
      <c r="Q189" s="4">
        <v>568066.66666666663</v>
      </c>
      <c r="R189" s="45">
        <f t="shared" si="5"/>
        <v>-2.4331596725253465E-2</v>
      </c>
    </row>
    <row r="190" spans="1:18" ht="15" customHeight="1">
      <c r="A190" s="108" t="s">
        <v>719</v>
      </c>
      <c r="B190" s="109" t="s">
        <v>258</v>
      </c>
      <c r="C190" s="37" t="s">
        <v>299</v>
      </c>
      <c r="D190" s="37" t="s">
        <v>501</v>
      </c>
      <c r="E190" s="37" t="s">
        <v>32</v>
      </c>
      <c r="F190" s="4">
        <v>195733.33333333331</v>
      </c>
      <c r="G190" s="4">
        <v>207350</v>
      </c>
      <c r="H190" s="4">
        <v>209158.33333333331</v>
      </c>
      <c r="I190" s="4">
        <v>200583.33333333331</v>
      </c>
      <c r="J190" s="4">
        <v>187858.33333333331</v>
      </c>
      <c r="K190" s="4">
        <v>181441.66666666669</v>
      </c>
      <c r="L190" s="4">
        <v>175600</v>
      </c>
      <c r="M190" s="4">
        <v>166975</v>
      </c>
      <c r="N190" s="4">
        <v>166808.33333333331</v>
      </c>
      <c r="O190" s="4">
        <v>160716.66666666669</v>
      </c>
      <c r="P190" s="4">
        <v>165216.66666666669</v>
      </c>
      <c r="Q190" s="4">
        <v>170558.33333333331</v>
      </c>
      <c r="R190" s="45">
        <f t="shared" si="5"/>
        <v>3.2331282154746052E-2</v>
      </c>
    </row>
    <row r="191" spans="1:18" ht="15" customHeight="1">
      <c r="A191" s="108" t="s">
        <v>720</v>
      </c>
      <c r="B191" s="109" t="s">
        <v>258</v>
      </c>
      <c r="C191" s="37" t="s">
        <v>721</v>
      </c>
      <c r="D191" s="37" t="s">
        <v>501</v>
      </c>
      <c r="E191" s="37" t="s">
        <v>32</v>
      </c>
      <c r="F191" s="4">
        <v>470516.66666666669</v>
      </c>
      <c r="G191" s="4">
        <v>516766.66666666669</v>
      </c>
      <c r="H191" s="4">
        <v>497141.66666666669</v>
      </c>
      <c r="I191" s="4">
        <v>454441.66666666669</v>
      </c>
      <c r="J191" s="4">
        <v>433150</v>
      </c>
      <c r="K191" s="4">
        <v>386100</v>
      </c>
      <c r="L191" s="4">
        <v>371983.33333333331</v>
      </c>
      <c r="M191" s="4">
        <v>346283.33333333331</v>
      </c>
      <c r="N191" s="4">
        <v>355875</v>
      </c>
      <c r="O191" s="4">
        <v>357825</v>
      </c>
      <c r="P191" s="4">
        <v>363783.33333333331</v>
      </c>
      <c r="Q191" s="4">
        <v>350666.66666666669</v>
      </c>
      <c r="R191" s="45">
        <f t="shared" si="5"/>
        <v>-3.6056260594676211E-2</v>
      </c>
    </row>
    <row r="192" spans="1:18" ht="15" customHeight="1">
      <c r="A192" s="108" t="s">
        <v>722</v>
      </c>
      <c r="B192" s="109" t="s">
        <v>258</v>
      </c>
      <c r="C192" s="37" t="s">
        <v>121</v>
      </c>
      <c r="D192" s="37" t="s">
        <v>501</v>
      </c>
      <c r="E192" s="37" t="s">
        <v>32</v>
      </c>
      <c r="F192" s="4">
        <v>271058.33333333331</v>
      </c>
      <c r="G192" s="4">
        <v>288900</v>
      </c>
      <c r="H192" s="4">
        <v>305833.33333333331</v>
      </c>
      <c r="I192" s="4">
        <v>272416.66666666669</v>
      </c>
      <c r="J192" s="4">
        <v>256066.66666666669</v>
      </c>
      <c r="K192" s="4">
        <v>263625</v>
      </c>
      <c r="L192" s="4">
        <v>250308.33333333331</v>
      </c>
      <c r="M192" s="4">
        <v>244916.66666666669</v>
      </c>
      <c r="N192" s="4">
        <v>243341.66666666669</v>
      </c>
      <c r="O192" s="4">
        <v>234375</v>
      </c>
      <c r="P192" s="4">
        <v>226766.66666666669</v>
      </c>
      <c r="Q192" s="4">
        <v>243916.66666666669</v>
      </c>
      <c r="R192" s="45">
        <f t="shared" si="5"/>
        <v>7.5628399235631333E-2</v>
      </c>
    </row>
    <row r="193" spans="1:18" ht="15" customHeight="1">
      <c r="A193" s="108" t="s">
        <v>723</v>
      </c>
      <c r="B193" s="109" t="s">
        <v>258</v>
      </c>
      <c r="C193" s="37" t="s">
        <v>724</v>
      </c>
      <c r="D193" s="37" t="s">
        <v>501</v>
      </c>
      <c r="E193" s="37" t="s">
        <v>13</v>
      </c>
      <c r="F193" s="4">
        <v>775583.33333333337</v>
      </c>
      <c r="G193" s="4">
        <v>814475</v>
      </c>
      <c r="H193" s="4">
        <v>811283.33333333337</v>
      </c>
      <c r="I193" s="4">
        <v>778966.66666666663</v>
      </c>
      <c r="J193" s="4">
        <v>748275</v>
      </c>
      <c r="K193" s="4">
        <v>687550</v>
      </c>
      <c r="L193" s="4">
        <v>703308.33333333337</v>
      </c>
      <c r="M193" s="4">
        <v>694316.66666666663</v>
      </c>
      <c r="N193" s="4">
        <v>739725</v>
      </c>
      <c r="O193" s="4">
        <v>723341.66666666663</v>
      </c>
      <c r="P193" s="4">
        <v>693266.66666666663</v>
      </c>
      <c r="Q193" s="4">
        <v>703275</v>
      </c>
      <c r="R193" s="45">
        <f t="shared" si="5"/>
        <v>1.4436484277334415E-2</v>
      </c>
    </row>
    <row r="194" spans="1:18" ht="15" customHeight="1">
      <c r="A194" s="108" t="s">
        <v>725</v>
      </c>
      <c r="B194" s="109" t="s">
        <v>497</v>
      </c>
      <c r="C194" s="37" t="s">
        <v>3</v>
      </c>
      <c r="D194" s="37" t="s">
        <v>501</v>
      </c>
      <c r="E194" s="5"/>
      <c r="F194" s="4">
        <v>240016.66666666669</v>
      </c>
      <c r="G194" s="4">
        <v>253858.33333333331</v>
      </c>
      <c r="H194" s="4">
        <v>255075</v>
      </c>
      <c r="I194" s="4">
        <v>244666.66666666669</v>
      </c>
      <c r="J194" s="4">
        <v>232958.33333333331</v>
      </c>
      <c r="K194" s="4">
        <v>231283.33333333331</v>
      </c>
      <c r="L194" s="4">
        <v>221041.66666666669</v>
      </c>
      <c r="M194" s="4">
        <v>214966.66666666669</v>
      </c>
      <c r="N194" s="4">
        <v>216816.66666666669</v>
      </c>
      <c r="O194" s="4">
        <v>218900</v>
      </c>
      <c r="P194" s="4">
        <v>216475</v>
      </c>
      <c r="Q194" s="4">
        <v>219241.66666666669</v>
      </c>
      <c r="R194" s="45">
        <f t="shared" si="5"/>
        <v>1.2780536628556121E-2</v>
      </c>
    </row>
    <row r="195" spans="1:18" ht="15" customHeight="1">
      <c r="A195" s="108" t="s">
        <v>726</v>
      </c>
      <c r="B195" s="109" t="s">
        <v>497</v>
      </c>
      <c r="C195" s="37" t="s">
        <v>8</v>
      </c>
      <c r="D195" s="37" t="s">
        <v>501</v>
      </c>
      <c r="E195" s="5"/>
      <c r="F195" s="4">
        <v>476000</v>
      </c>
      <c r="G195" s="4">
        <v>493483.33333333331</v>
      </c>
      <c r="H195" s="4">
        <v>482350</v>
      </c>
      <c r="I195" s="4">
        <v>448125</v>
      </c>
      <c r="J195" s="4">
        <v>404166.66666666669</v>
      </c>
      <c r="K195" s="4">
        <v>390650</v>
      </c>
      <c r="L195" s="4">
        <v>377208.33333333331</v>
      </c>
      <c r="M195" s="4">
        <v>364750</v>
      </c>
      <c r="N195" s="4">
        <v>377316.66666666669</v>
      </c>
      <c r="O195" s="4">
        <v>388366.66666666669</v>
      </c>
      <c r="P195" s="4">
        <v>395350</v>
      </c>
      <c r="Q195" s="4">
        <v>394050</v>
      </c>
      <c r="R195" s="45">
        <f t="shared" ref="R195:R226" si="6">(Q195-P195)/P195</f>
        <v>-3.288225622865815E-3</v>
      </c>
    </row>
    <row r="196" spans="1:18" ht="15" customHeight="1">
      <c r="A196" s="108" t="s">
        <v>727</v>
      </c>
      <c r="B196" s="109" t="s">
        <v>497</v>
      </c>
      <c r="C196" s="37" t="s">
        <v>5</v>
      </c>
      <c r="D196" s="37" t="s">
        <v>501</v>
      </c>
      <c r="E196" s="5"/>
      <c r="F196" s="4">
        <v>257125</v>
      </c>
      <c r="G196" s="4">
        <v>269508.33333333331</v>
      </c>
      <c r="H196" s="4">
        <v>266075</v>
      </c>
      <c r="I196" s="4">
        <v>251483.33333333331</v>
      </c>
      <c r="J196" s="4">
        <v>232566.66666666669</v>
      </c>
      <c r="K196" s="4">
        <v>228133.33333333331</v>
      </c>
      <c r="L196" s="4">
        <v>216166.66666666669</v>
      </c>
      <c r="M196" s="4">
        <v>208108.33333333331</v>
      </c>
      <c r="N196" s="4">
        <v>210583.33333333331</v>
      </c>
      <c r="O196" s="4">
        <v>211816.66666666669</v>
      </c>
      <c r="P196" s="4">
        <v>213350</v>
      </c>
      <c r="Q196" s="4">
        <v>215575</v>
      </c>
      <c r="R196" s="45">
        <f t="shared" si="6"/>
        <v>1.042887274431685E-2</v>
      </c>
    </row>
    <row r="197" spans="1:18" ht="15" customHeight="1">
      <c r="A197" s="108" t="s">
        <v>728</v>
      </c>
      <c r="B197" s="109" t="s">
        <v>497</v>
      </c>
      <c r="C197" s="37" t="s">
        <v>13</v>
      </c>
      <c r="D197" s="37" t="s">
        <v>501</v>
      </c>
      <c r="E197" s="5"/>
      <c r="F197" s="4">
        <v>257491.66666666669</v>
      </c>
      <c r="G197" s="4">
        <v>268075</v>
      </c>
      <c r="H197" s="4">
        <v>266108.33333333331</v>
      </c>
      <c r="I197" s="4">
        <v>252491.66666666669</v>
      </c>
      <c r="J197" s="4">
        <v>235750</v>
      </c>
      <c r="K197" s="4">
        <v>230866.66666666669</v>
      </c>
      <c r="L197" s="4">
        <v>221283.33333333331</v>
      </c>
      <c r="M197" s="4">
        <v>209700</v>
      </c>
      <c r="N197" s="4">
        <v>214583.33333333331</v>
      </c>
      <c r="O197" s="4">
        <v>216508.33333333331</v>
      </c>
      <c r="P197" s="4">
        <v>215275</v>
      </c>
      <c r="Q197" s="4">
        <v>216308.33333333331</v>
      </c>
      <c r="R197" s="45">
        <f t="shared" si="6"/>
        <v>4.8000619362829587E-3</v>
      </c>
    </row>
    <row r="198" spans="1:18" ht="15" customHeight="1">
      <c r="A198" s="110" t="s">
        <v>729</v>
      </c>
      <c r="B198" s="109" t="s">
        <v>497</v>
      </c>
      <c r="C198" s="37" t="s">
        <v>32</v>
      </c>
      <c r="D198" s="37" t="s">
        <v>501</v>
      </c>
      <c r="E198" s="5"/>
      <c r="F198" s="4">
        <v>272500</v>
      </c>
      <c r="G198" s="4">
        <v>287341.66666666669</v>
      </c>
      <c r="H198" s="4">
        <v>285283.33333333331</v>
      </c>
      <c r="I198" s="4">
        <v>271441.66666666669</v>
      </c>
      <c r="J198" s="4">
        <v>247933.33333333331</v>
      </c>
      <c r="K198" s="4">
        <v>240158.33333333331</v>
      </c>
      <c r="L198" s="4">
        <v>230458.33333333331</v>
      </c>
      <c r="M198" s="4">
        <v>221091.66666666669</v>
      </c>
      <c r="N198" s="4">
        <v>223783.33333333331</v>
      </c>
      <c r="O198" s="4">
        <v>223841.66666666669</v>
      </c>
      <c r="P198" s="4">
        <v>225258.33333333331</v>
      </c>
      <c r="Q198" s="4">
        <v>222966.66666666669</v>
      </c>
      <c r="R198" s="45">
        <f t="shared" si="6"/>
        <v>-1.0173504494839088E-2</v>
      </c>
    </row>
  </sheetData>
  <pageMargins left="0.7" right="0.7" top="0.75" bottom="0.75" header="0.3" footer="0.3"/>
  <pageSetup orientation="portrait"/>
  <headerFooter>
    <oddFooter>&amp;C&amp;"Helvetica,Regular"&amp;12&amp;K000000&amp;P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189"/>
  <sheetViews>
    <sheetView showGridLines="0" workbookViewId="0"/>
  </sheetViews>
  <sheetFormatPr baseColWidth="10" defaultColWidth="8.83203125" defaultRowHeight="14" customHeight="1"/>
  <cols>
    <col min="1" max="1" width="13.33203125" style="111" customWidth="1"/>
    <col min="2" max="2" width="12" style="111" customWidth="1"/>
    <col min="3" max="3" width="8.83203125" style="111" customWidth="1"/>
    <col min="4" max="4" width="18.33203125" style="111" customWidth="1"/>
    <col min="5" max="5" width="35.6640625" style="111" customWidth="1"/>
    <col min="6" max="256" width="8.83203125" style="111" customWidth="1"/>
  </cols>
  <sheetData>
    <row r="1" spans="1:5" ht="15" customHeight="1">
      <c r="A1" s="2" t="s">
        <v>153</v>
      </c>
      <c r="B1" s="5"/>
      <c r="C1" s="5"/>
      <c r="D1" s="5"/>
      <c r="E1" s="5"/>
    </row>
    <row r="2" spans="1:5" ht="15" customHeight="1">
      <c r="A2" s="2" t="s">
        <v>69</v>
      </c>
      <c r="B2" s="5"/>
      <c r="C2" s="5"/>
      <c r="D2" s="5"/>
      <c r="E2" s="5"/>
    </row>
    <row r="3" spans="1:5" ht="15" customHeight="1">
      <c r="A3" s="2" t="s">
        <v>164</v>
      </c>
      <c r="B3" s="5"/>
      <c r="C3" s="5"/>
      <c r="D3" s="5"/>
      <c r="E3" s="5"/>
    </row>
    <row r="4" spans="1:5" ht="15" customHeight="1">
      <c r="A4" s="2" t="s">
        <v>49</v>
      </c>
      <c r="B4" s="5"/>
      <c r="C4" s="5"/>
      <c r="D4" s="5"/>
      <c r="E4" s="5"/>
    </row>
    <row r="5" spans="1:5" ht="15" customHeight="1">
      <c r="A5" s="2" t="s">
        <v>55</v>
      </c>
      <c r="B5" s="5"/>
      <c r="C5" s="5"/>
      <c r="D5" s="5"/>
      <c r="E5" s="5"/>
    </row>
    <row r="6" spans="1:5" ht="15" customHeight="1">
      <c r="A6" s="2" t="s">
        <v>54</v>
      </c>
      <c r="B6" s="5"/>
      <c r="C6" s="5"/>
      <c r="D6" s="5"/>
      <c r="E6" s="5"/>
    </row>
    <row r="7" spans="1:5" ht="15" customHeight="1">
      <c r="A7" s="2" t="s">
        <v>52</v>
      </c>
      <c r="B7" s="5"/>
      <c r="C7" s="5"/>
      <c r="D7" s="5"/>
      <c r="E7" s="5"/>
    </row>
    <row r="8" spans="1:5" ht="15" customHeight="1">
      <c r="A8" s="2" t="s">
        <v>136</v>
      </c>
      <c r="B8" s="5"/>
      <c r="C8" s="5"/>
      <c r="D8" s="5"/>
      <c r="E8" s="5"/>
    </row>
    <row r="9" spans="1:5" ht="15" customHeight="1">
      <c r="A9" s="2" t="s">
        <v>11</v>
      </c>
      <c r="B9" s="5"/>
      <c r="C9" s="5"/>
      <c r="D9" s="5"/>
      <c r="E9" s="5"/>
    </row>
    <row r="10" spans="1:5" ht="15" customHeight="1">
      <c r="A10" s="2" t="s">
        <v>97</v>
      </c>
      <c r="B10" s="5"/>
      <c r="C10" s="5"/>
      <c r="D10" s="5"/>
      <c r="E10" s="5"/>
    </row>
    <row r="11" spans="1:5" ht="15" customHeight="1">
      <c r="A11" s="2" t="s">
        <v>128</v>
      </c>
      <c r="B11" s="5"/>
      <c r="C11" s="5"/>
      <c r="D11" s="5"/>
      <c r="E11" s="5"/>
    </row>
    <row r="12" spans="1:5" ht="15" customHeight="1">
      <c r="A12" s="2" t="s">
        <v>48</v>
      </c>
      <c r="B12" s="5"/>
      <c r="C12" s="5"/>
      <c r="D12" s="5"/>
      <c r="E12" s="5"/>
    </row>
    <row r="13" spans="1:5" ht="15" customHeight="1">
      <c r="A13" s="2" t="s">
        <v>76</v>
      </c>
      <c r="B13" s="5"/>
      <c r="C13" s="5"/>
      <c r="D13" s="5"/>
      <c r="E13" s="5"/>
    </row>
    <row r="14" spans="1:5" ht="15" customHeight="1">
      <c r="A14" s="2" t="s">
        <v>45</v>
      </c>
      <c r="B14" s="5"/>
      <c r="C14" s="5"/>
      <c r="D14" s="5"/>
      <c r="E14" s="5"/>
    </row>
    <row r="15" spans="1:5" ht="15" customHeight="1">
      <c r="A15" s="2" t="s">
        <v>147</v>
      </c>
      <c r="B15" s="5"/>
      <c r="C15" s="5"/>
      <c r="D15" s="5"/>
      <c r="E15" s="5"/>
    </row>
    <row r="16" spans="1:5" ht="15" customHeight="1">
      <c r="A16" s="2" t="s">
        <v>17</v>
      </c>
      <c r="B16" s="5"/>
      <c r="C16" s="5"/>
      <c r="D16" s="5"/>
      <c r="E16" s="5"/>
    </row>
    <row r="17" spans="1:5" ht="15" customHeight="1">
      <c r="A17" s="2" t="s">
        <v>127</v>
      </c>
      <c r="B17" s="5"/>
      <c r="C17" s="5"/>
      <c r="D17" s="5"/>
      <c r="E17" s="5"/>
    </row>
    <row r="18" spans="1:5" ht="15" customHeight="1">
      <c r="A18" s="5"/>
      <c r="B18" s="5"/>
      <c r="C18" s="5"/>
      <c r="D18" s="5"/>
      <c r="E18" s="5"/>
    </row>
    <row r="19" spans="1:5" ht="15" customHeight="1">
      <c r="A19" s="112"/>
      <c r="B19" s="112"/>
      <c r="C19" s="112"/>
      <c r="D19" s="112"/>
      <c r="E19" s="112"/>
    </row>
    <row r="20" spans="1:5" ht="46" customHeight="1">
      <c r="A20" s="113" t="s">
        <v>730</v>
      </c>
      <c r="B20" s="113" t="s">
        <v>500</v>
      </c>
      <c r="C20" s="113" t="s">
        <v>731</v>
      </c>
      <c r="D20" s="113" t="s">
        <v>732</v>
      </c>
      <c r="E20" s="113" t="s">
        <v>733</v>
      </c>
    </row>
    <row r="21" spans="1:5" ht="31" customHeight="1">
      <c r="A21" s="114" t="s">
        <v>256</v>
      </c>
      <c r="B21" s="114" t="s">
        <v>59</v>
      </c>
      <c r="C21" s="115">
        <v>1848</v>
      </c>
      <c r="D21" s="114" t="s">
        <v>734</v>
      </c>
      <c r="E21" s="114" t="s">
        <v>735</v>
      </c>
    </row>
    <row r="22" spans="1:5" ht="31" customHeight="1">
      <c r="A22" s="114" t="s">
        <v>120</v>
      </c>
      <c r="B22" s="114" t="s">
        <v>5</v>
      </c>
      <c r="C22" s="115">
        <v>1889</v>
      </c>
      <c r="D22" s="114" t="s">
        <v>9</v>
      </c>
      <c r="E22" s="114" t="s">
        <v>736</v>
      </c>
    </row>
    <row r="23" spans="1:5" ht="16" customHeight="1">
      <c r="A23" s="114" t="s">
        <v>90</v>
      </c>
      <c r="B23" s="114" t="s">
        <v>89</v>
      </c>
      <c r="C23" s="115">
        <v>1714</v>
      </c>
      <c r="D23" s="114" t="s">
        <v>737</v>
      </c>
      <c r="E23" s="114" t="s">
        <v>738</v>
      </c>
    </row>
    <row r="24" spans="1:5" ht="16" customHeight="1">
      <c r="A24" s="114" t="s">
        <v>64</v>
      </c>
      <c r="B24" s="114" t="s">
        <v>3</v>
      </c>
      <c r="C24" s="115">
        <v>1830</v>
      </c>
      <c r="D24" s="114" t="s">
        <v>50</v>
      </c>
      <c r="E24" s="114" t="s">
        <v>739</v>
      </c>
    </row>
    <row r="25" spans="1:5" ht="31" customHeight="1">
      <c r="A25" s="114" t="s">
        <v>93</v>
      </c>
      <c r="B25" s="114" t="s">
        <v>54</v>
      </c>
      <c r="C25" s="115">
        <v>1779</v>
      </c>
      <c r="D25" s="114" t="s">
        <v>737</v>
      </c>
      <c r="E25" s="114" t="s">
        <v>740</v>
      </c>
    </row>
    <row r="26" spans="1:5" ht="61" customHeight="1">
      <c r="A26" s="114" t="s">
        <v>81</v>
      </c>
      <c r="B26" s="114" t="s">
        <v>5</v>
      </c>
      <c r="C26" s="115">
        <v>1871</v>
      </c>
      <c r="D26" s="114" t="s">
        <v>741</v>
      </c>
      <c r="E26" s="114" t="s">
        <v>742</v>
      </c>
    </row>
    <row r="27" spans="1:5" ht="46" customHeight="1">
      <c r="A27" s="114" t="s">
        <v>61</v>
      </c>
      <c r="B27" s="114" t="s">
        <v>3</v>
      </c>
      <c r="C27" s="115">
        <v>1785</v>
      </c>
      <c r="D27" s="114" t="s">
        <v>743</v>
      </c>
      <c r="E27" s="114" t="s">
        <v>744</v>
      </c>
    </row>
    <row r="28" spans="1:5" ht="31" customHeight="1">
      <c r="A28" s="114" t="s">
        <v>87</v>
      </c>
      <c r="B28" s="114" t="s">
        <v>5</v>
      </c>
      <c r="C28" s="115">
        <v>1832</v>
      </c>
      <c r="D28" s="114" t="s">
        <v>66</v>
      </c>
      <c r="E28" s="114" t="s">
        <v>745</v>
      </c>
    </row>
    <row r="29" spans="1:5" ht="16" customHeight="1">
      <c r="A29" s="114" t="s">
        <v>153</v>
      </c>
      <c r="B29" s="114" t="s">
        <v>21</v>
      </c>
      <c r="C29" s="115">
        <v>1855</v>
      </c>
      <c r="D29" s="114" t="s">
        <v>37</v>
      </c>
      <c r="E29" s="114" t="s">
        <v>746</v>
      </c>
    </row>
    <row r="30" spans="1:5" ht="31" customHeight="1">
      <c r="A30" s="114" t="s">
        <v>125</v>
      </c>
      <c r="B30" s="114" t="s">
        <v>54</v>
      </c>
      <c r="C30" s="115">
        <v>1787</v>
      </c>
      <c r="D30" s="114" t="s">
        <v>98</v>
      </c>
      <c r="E30" s="114" t="s">
        <v>747</v>
      </c>
    </row>
    <row r="31" spans="1:5" ht="46" customHeight="1">
      <c r="A31" s="114" t="s">
        <v>53</v>
      </c>
      <c r="B31" s="114" t="s">
        <v>3</v>
      </c>
      <c r="C31" s="115">
        <v>1835</v>
      </c>
      <c r="D31" s="114" t="s">
        <v>748</v>
      </c>
      <c r="E31" s="114" t="s">
        <v>749</v>
      </c>
    </row>
    <row r="32" spans="1:5" ht="16" customHeight="1">
      <c r="A32" s="114" t="s">
        <v>70</v>
      </c>
      <c r="B32" s="114" t="s">
        <v>59</v>
      </c>
      <c r="C32" s="115">
        <v>1720</v>
      </c>
      <c r="D32" s="116"/>
      <c r="E32" s="114" t="s">
        <v>750</v>
      </c>
    </row>
    <row r="33" spans="1:5" ht="31" customHeight="1">
      <c r="A33" s="114" t="s">
        <v>43</v>
      </c>
      <c r="B33" s="114" t="s">
        <v>13</v>
      </c>
      <c r="C33" s="115">
        <v>1786</v>
      </c>
      <c r="D33" s="114" t="s">
        <v>78</v>
      </c>
      <c r="E33" s="114" t="s">
        <v>751</v>
      </c>
    </row>
    <row r="34" spans="1:5" ht="61" customHeight="1">
      <c r="A34" s="114" t="s">
        <v>152</v>
      </c>
      <c r="B34" s="114" t="s">
        <v>5</v>
      </c>
      <c r="C34" s="115">
        <v>1685</v>
      </c>
      <c r="D34" s="114" t="s">
        <v>5</v>
      </c>
      <c r="E34" s="114" t="s">
        <v>752</v>
      </c>
    </row>
    <row r="35" spans="1:5" ht="46" customHeight="1">
      <c r="A35" s="114" t="s">
        <v>4</v>
      </c>
      <c r="B35" s="114" t="s">
        <v>21</v>
      </c>
      <c r="C35" s="115">
        <v>1821</v>
      </c>
      <c r="D35" s="114" t="s">
        <v>753</v>
      </c>
      <c r="E35" s="114" t="s">
        <v>754</v>
      </c>
    </row>
    <row r="36" spans="1:5" ht="31" customHeight="1">
      <c r="A36" s="114" t="s">
        <v>166</v>
      </c>
      <c r="B36" s="114" t="s">
        <v>54</v>
      </c>
      <c r="C36" s="115">
        <v>1856</v>
      </c>
      <c r="D36" s="114" t="s">
        <v>136</v>
      </c>
      <c r="E36" s="114" t="s">
        <v>755</v>
      </c>
    </row>
    <row r="37" spans="1:5" ht="31" customHeight="1">
      <c r="A37" s="114" t="s">
        <v>130</v>
      </c>
      <c r="B37" s="114" t="s">
        <v>3</v>
      </c>
      <c r="C37" s="115">
        <v>1785</v>
      </c>
      <c r="D37" s="114" t="s">
        <v>50</v>
      </c>
      <c r="E37" s="114" t="s">
        <v>756</v>
      </c>
    </row>
    <row r="38" spans="1:5" ht="46" customHeight="1">
      <c r="A38" s="114" t="s">
        <v>16</v>
      </c>
      <c r="B38" s="114" t="s">
        <v>21</v>
      </c>
      <c r="C38" s="115">
        <v>1788</v>
      </c>
      <c r="D38" s="114" t="s">
        <v>757</v>
      </c>
      <c r="E38" s="114" t="s">
        <v>758</v>
      </c>
    </row>
    <row r="39" spans="1:5" ht="31" customHeight="1">
      <c r="A39" s="114" t="s">
        <v>23</v>
      </c>
      <c r="B39" s="114" t="s">
        <v>89</v>
      </c>
      <c r="C39" s="115">
        <v>1786</v>
      </c>
      <c r="D39" s="114" t="s">
        <v>759</v>
      </c>
      <c r="E39" s="114" t="s">
        <v>760</v>
      </c>
    </row>
    <row r="40" spans="1:5" ht="16" customHeight="1">
      <c r="A40" s="114" t="s">
        <v>123</v>
      </c>
      <c r="B40" s="114" t="s">
        <v>3</v>
      </c>
      <c r="C40" s="115">
        <v>1806</v>
      </c>
      <c r="D40" s="114" t="s">
        <v>130</v>
      </c>
      <c r="E40" s="114" t="s">
        <v>761</v>
      </c>
    </row>
    <row r="41" spans="1:5" ht="16" customHeight="1">
      <c r="A41" s="114" t="s">
        <v>96</v>
      </c>
      <c r="B41" s="114" t="s">
        <v>54</v>
      </c>
      <c r="C41" s="115">
        <v>1739</v>
      </c>
      <c r="D41" s="114" t="s">
        <v>737</v>
      </c>
      <c r="E41" s="114" t="s">
        <v>762</v>
      </c>
    </row>
    <row r="42" spans="1:5" ht="16" customHeight="1">
      <c r="A42" s="114" t="s">
        <v>105</v>
      </c>
      <c r="B42" s="114" t="s">
        <v>89</v>
      </c>
      <c r="C42" s="115">
        <v>1703</v>
      </c>
      <c r="D42" s="114" t="s">
        <v>129</v>
      </c>
      <c r="E42" s="114" t="s">
        <v>763</v>
      </c>
    </row>
    <row r="43" spans="1:5" ht="16" customHeight="1">
      <c r="A43" s="114" t="s">
        <v>103</v>
      </c>
      <c r="B43" s="114" t="s">
        <v>3</v>
      </c>
      <c r="C43" s="115">
        <v>1806</v>
      </c>
      <c r="D43" s="114" t="s">
        <v>88</v>
      </c>
      <c r="E43" s="114" t="s">
        <v>764</v>
      </c>
    </row>
    <row r="44" spans="1:5" ht="46" customHeight="1">
      <c r="A44" s="114" t="s">
        <v>84</v>
      </c>
      <c r="B44" s="114" t="s">
        <v>89</v>
      </c>
      <c r="C44" s="115">
        <v>1822</v>
      </c>
      <c r="D44" s="114" t="s">
        <v>765</v>
      </c>
      <c r="E44" s="114" t="s">
        <v>766</v>
      </c>
    </row>
    <row r="45" spans="1:5" ht="31" customHeight="1">
      <c r="A45" s="114" t="s">
        <v>22</v>
      </c>
      <c r="B45" s="114" t="s">
        <v>5</v>
      </c>
      <c r="C45" s="115">
        <v>1780</v>
      </c>
      <c r="D45" s="114" t="s">
        <v>134</v>
      </c>
      <c r="E45" s="114" t="s">
        <v>767</v>
      </c>
    </row>
    <row r="46" spans="1:5" ht="31" customHeight="1">
      <c r="A46" s="114" t="s">
        <v>135</v>
      </c>
      <c r="B46" s="114" t="s">
        <v>507</v>
      </c>
      <c r="C46" s="115">
        <v>1836</v>
      </c>
      <c r="D46" s="114" t="s">
        <v>768</v>
      </c>
      <c r="E46" s="114" t="s">
        <v>769</v>
      </c>
    </row>
    <row r="47" spans="1:5" ht="16" customHeight="1">
      <c r="A47" s="114" t="s">
        <v>38</v>
      </c>
      <c r="B47" s="114" t="s">
        <v>507</v>
      </c>
      <c r="C47" s="115">
        <v>1838</v>
      </c>
      <c r="D47" s="114" t="s">
        <v>150</v>
      </c>
      <c r="E47" s="114" t="s">
        <v>770</v>
      </c>
    </row>
    <row r="48" spans="1:5" ht="31" customHeight="1">
      <c r="A48" s="114" t="s">
        <v>69</v>
      </c>
      <c r="B48" s="114" t="s">
        <v>13</v>
      </c>
      <c r="C48" s="115">
        <v>1698</v>
      </c>
      <c r="D48" s="114" t="s">
        <v>737</v>
      </c>
      <c r="E48" s="114" t="s">
        <v>771</v>
      </c>
    </row>
    <row r="49" spans="1:5" ht="16" customHeight="1">
      <c r="A49" s="114" t="s">
        <v>121</v>
      </c>
      <c r="B49" s="114" t="s">
        <v>54</v>
      </c>
      <c r="C49" s="115">
        <v>1779</v>
      </c>
      <c r="D49" s="114" t="s">
        <v>737</v>
      </c>
      <c r="E49" s="114" t="s">
        <v>740</v>
      </c>
    </row>
    <row r="50" spans="1:5" ht="16" customHeight="1">
      <c r="A50" s="114" t="s">
        <v>146</v>
      </c>
      <c r="B50" s="114" t="s">
        <v>59</v>
      </c>
      <c r="C50" s="115">
        <v>1804</v>
      </c>
      <c r="D50" s="114" t="s">
        <v>144</v>
      </c>
      <c r="E50" s="114" t="s">
        <v>772</v>
      </c>
    </row>
    <row r="51" spans="1:5" ht="16" customHeight="1">
      <c r="A51" s="114" t="s">
        <v>164</v>
      </c>
      <c r="B51" s="114" t="s">
        <v>54</v>
      </c>
      <c r="C51" s="115">
        <v>1740</v>
      </c>
      <c r="D51" s="114" t="s">
        <v>737</v>
      </c>
      <c r="E51" s="114" t="s">
        <v>773</v>
      </c>
    </row>
    <row r="52" spans="1:5" ht="16" customHeight="1">
      <c r="A52" s="114" t="s">
        <v>77</v>
      </c>
      <c r="B52" s="114" t="s">
        <v>59</v>
      </c>
      <c r="C52" s="115">
        <v>1712</v>
      </c>
      <c r="D52" s="114" t="s">
        <v>737</v>
      </c>
      <c r="E52" s="114" t="s">
        <v>774</v>
      </c>
    </row>
    <row r="53" spans="1:5" ht="16" customHeight="1">
      <c r="A53" s="114" t="s">
        <v>119</v>
      </c>
      <c r="B53" s="114" t="s">
        <v>507</v>
      </c>
      <c r="C53" s="115">
        <v>1851</v>
      </c>
      <c r="D53" s="114" t="s">
        <v>110</v>
      </c>
      <c r="E53" s="114" t="s">
        <v>775</v>
      </c>
    </row>
    <row r="54" spans="1:5" ht="61" customHeight="1">
      <c r="A54" s="114" t="s">
        <v>37</v>
      </c>
      <c r="B54" s="114" t="s">
        <v>21</v>
      </c>
      <c r="C54" s="115">
        <v>1687</v>
      </c>
      <c r="D54" s="114" t="s">
        <v>737</v>
      </c>
      <c r="E54" s="114" t="s">
        <v>776</v>
      </c>
    </row>
    <row r="55" spans="1:5" ht="16" customHeight="1">
      <c r="A55" s="114" t="s">
        <v>67</v>
      </c>
      <c r="B55" s="114" t="s">
        <v>21</v>
      </c>
      <c r="C55" s="115">
        <v>1820</v>
      </c>
      <c r="D55" s="114" t="s">
        <v>8</v>
      </c>
      <c r="E55" s="114" t="s">
        <v>777</v>
      </c>
    </row>
    <row r="56" spans="1:5" ht="61" customHeight="1">
      <c r="A56" s="114" t="s">
        <v>12</v>
      </c>
      <c r="B56" s="114" t="s">
        <v>507</v>
      </c>
      <c r="C56" s="115">
        <v>1635</v>
      </c>
      <c r="D56" s="114" t="s">
        <v>737</v>
      </c>
      <c r="E56" s="114" t="s">
        <v>778</v>
      </c>
    </row>
    <row r="57" spans="1:5" ht="61" customHeight="1">
      <c r="A57" s="114" t="s">
        <v>9</v>
      </c>
      <c r="B57" s="114" t="s">
        <v>5</v>
      </c>
      <c r="C57" s="115">
        <v>1675</v>
      </c>
      <c r="D57" s="114" t="s">
        <v>737</v>
      </c>
      <c r="E57" s="114" t="s">
        <v>779</v>
      </c>
    </row>
    <row r="58" spans="1:5" ht="31" customHeight="1">
      <c r="A58" s="114" t="s">
        <v>73</v>
      </c>
      <c r="B58" s="114" t="s">
        <v>507</v>
      </c>
      <c r="C58" s="115">
        <v>1708</v>
      </c>
      <c r="D58" s="114" t="s">
        <v>737</v>
      </c>
      <c r="E58" s="114" t="s">
        <v>780</v>
      </c>
    </row>
    <row r="59" spans="1:5" ht="31" customHeight="1">
      <c r="A59" s="114" t="s">
        <v>133</v>
      </c>
      <c r="B59" s="114" t="s">
        <v>3</v>
      </c>
      <c r="C59" s="115">
        <v>1858</v>
      </c>
      <c r="D59" s="114" t="s">
        <v>781</v>
      </c>
      <c r="E59" s="114" t="s">
        <v>782</v>
      </c>
    </row>
    <row r="60" spans="1:5" ht="31" customHeight="1">
      <c r="A60" s="114" t="s">
        <v>82</v>
      </c>
      <c r="B60" s="114" t="s">
        <v>507</v>
      </c>
      <c r="C60" s="115">
        <v>1734</v>
      </c>
      <c r="D60" s="114" t="s">
        <v>107</v>
      </c>
      <c r="E60" s="114" t="s">
        <v>783</v>
      </c>
    </row>
    <row r="61" spans="1:5" ht="31" customHeight="1">
      <c r="A61" s="114" t="s">
        <v>49</v>
      </c>
      <c r="B61" s="114" t="s">
        <v>507</v>
      </c>
      <c r="C61" s="115">
        <v>1767</v>
      </c>
      <c r="D61" s="114" t="s">
        <v>110</v>
      </c>
      <c r="E61" s="114" t="s">
        <v>784</v>
      </c>
    </row>
    <row r="62" spans="1:5" ht="31" customHeight="1">
      <c r="A62" s="114" t="s">
        <v>34</v>
      </c>
      <c r="B62" s="114" t="s">
        <v>3</v>
      </c>
      <c r="C62" s="115">
        <v>1783</v>
      </c>
      <c r="D62" s="114" t="s">
        <v>3</v>
      </c>
      <c r="E62" s="114" t="s">
        <v>785</v>
      </c>
    </row>
    <row r="63" spans="1:5" ht="31" customHeight="1">
      <c r="A63" s="114" t="s">
        <v>14</v>
      </c>
      <c r="B63" s="114" t="s">
        <v>5</v>
      </c>
      <c r="C63" s="115">
        <v>1785</v>
      </c>
      <c r="D63" s="114" t="s">
        <v>5</v>
      </c>
      <c r="E63" s="114" t="s">
        <v>786</v>
      </c>
    </row>
    <row r="64" spans="1:5" ht="31" customHeight="1">
      <c r="A64" s="114" t="s">
        <v>20</v>
      </c>
      <c r="B64" s="114" t="s">
        <v>13</v>
      </c>
      <c r="C64" s="115">
        <v>1839</v>
      </c>
      <c r="D64" s="114" t="s">
        <v>787</v>
      </c>
      <c r="E64" s="114" t="s">
        <v>788</v>
      </c>
    </row>
    <row r="65" spans="1:5" ht="31" customHeight="1">
      <c r="A65" s="114" t="s">
        <v>154</v>
      </c>
      <c r="B65" s="114" t="s">
        <v>3</v>
      </c>
      <c r="C65" s="115">
        <v>1768</v>
      </c>
      <c r="D65" s="114" t="s">
        <v>117</v>
      </c>
      <c r="E65" s="114" t="s">
        <v>789</v>
      </c>
    </row>
    <row r="66" spans="1:5" ht="16" customHeight="1">
      <c r="A66" s="114" t="s">
        <v>165</v>
      </c>
      <c r="B66" s="114" t="s">
        <v>89</v>
      </c>
      <c r="C66" s="115">
        <v>1847</v>
      </c>
      <c r="D66" s="114" t="s">
        <v>90</v>
      </c>
      <c r="E66" s="114" t="s">
        <v>790</v>
      </c>
    </row>
    <row r="67" spans="1:5" ht="16" customHeight="1">
      <c r="A67" s="114" t="s">
        <v>75</v>
      </c>
      <c r="B67" s="114" t="s">
        <v>21</v>
      </c>
      <c r="C67" s="115">
        <v>1845</v>
      </c>
      <c r="D67" s="114" t="s">
        <v>99</v>
      </c>
      <c r="E67" s="114" t="s">
        <v>791</v>
      </c>
    </row>
    <row r="68" spans="1:5" ht="31" customHeight="1">
      <c r="A68" s="114" t="s">
        <v>149</v>
      </c>
      <c r="B68" s="114" t="s">
        <v>59</v>
      </c>
      <c r="C68" s="115">
        <v>1786</v>
      </c>
      <c r="D68" s="114" t="s">
        <v>154</v>
      </c>
      <c r="E68" s="114" t="s">
        <v>792</v>
      </c>
    </row>
    <row r="69" spans="1:5" ht="31" customHeight="1">
      <c r="A69" s="114" t="s">
        <v>143</v>
      </c>
      <c r="B69" s="114" t="s">
        <v>3</v>
      </c>
      <c r="C69" s="115">
        <v>1683</v>
      </c>
      <c r="D69" s="114" t="s">
        <v>737</v>
      </c>
      <c r="E69" s="114" t="s">
        <v>793</v>
      </c>
    </row>
    <row r="70" spans="1:5" ht="46" customHeight="1">
      <c r="A70" s="114" t="s">
        <v>101</v>
      </c>
      <c r="B70" s="114" t="s">
        <v>507</v>
      </c>
      <c r="C70" s="115">
        <v>1852</v>
      </c>
      <c r="D70" s="114" t="s">
        <v>768</v>
      </c>
      <c r="E70" s="114" t="s">
        <v>794</v>
      </c>
    </row>
    <row r="71" spans="1:5" ht="46" customHeight="1">
      <c r="A71" s="114" t="s">
        <v>21</v>
      </c>
      <c r="B71" s="114" t="s">
        <v>21</v>
      </c>
      <c r="C71" s="115">
        <v>1639</v>
      </c>
      <c r="D71" s="114" t="s">
        <v>737</v>
      </c>
      <c r="E71" s="114" t="s">
        <v>795</v>
      </c>
    </row>
    <row r="72" spans="1:5" ht="76" customHeight="1">
      <c r="A72" s="114" t="s">
        <v>50</v>
      </c>
      <c r="B72" s="114" t="s">
        <v>3</v>
      </c>
      <c r="C72" s="115">
        <v>1645</v>
      </c>
      <c r="D72" s="114" t="s">
        <v>737</v>
      </c>
      <c r="E72" s="114" t="s">
        <v>796</v>
      </c>
    </row>
    <row r="73" spans="1:5" ht="31" customHeight="1">
      <c r="A73" s="114" t="s">
        <v>92</v>
      </c>
      <c r="B73" s="114" t="s">
        <v>13</v>
      </c>
      <c r="C73" s="115">
        <v>1786</v>
      </c>
      <c r="D73" s="114" t="s">
        <v>78</v>
      </c>
      <c r="E73" s="114" t="s">
        <v>751</v>
      </c>
    </row>
    <row r="74" spans="1:5" ht="31" customHeight="1">
      <c r="A74" s="114" t="s">
        <v>104</v>
      </c>
      <c r="B74" s="114" t="s">
        <v>3</v>
      </c>
      <c r="C74" s="115">
        <v>1690</v>
      </c>
      <c r="D74" s="114" t="s">
        <v>47</v>
      </c>
      <c r="E74" s="114" t="s">
        <v>797</v>
      </c>
    </row>
    <row r="75" spans="1:5" ht="16" customHeight="1">
      <c r="A75" s="114" t="s">
        <v>155</v>
      </c>
      <c r="B75" s="114" t="s">
        <v>54</v>
      </c>
      <c r="C75" s="115">
        <v>1739</v>
      </c>
      <c r="D75" s="114" t="s">
        <v>737</v>
      </c>
      <c r="E75" s="114" t="s">
        <v>762</v>
      </c>
    </row>
    <row r="76" spans="1:5" ht="16" customHeight="1">
      <c r="A76" s="114" t="s">
        <v>56</v>
      </c>
      <c r="B76" s="114" t="s">
        <v>3</v>
      </c>
      <c r="C76" s="115">
        <v>1786</v>
      </c>
      <c r="D76" s="114" t="s">
        <v>88</v>
      </c>
      <c r="E76" s="114" t="s">
        <v>798</v>
      </c>
    </row>
    <row r="77" spans="1:5" ht="31" customHeight="1">
      <c r="A77" s="114" t="s">
        <v>91</v>
      </c>
      <c r="B77" s="114" t="s">
        <v>21</v>
      </c>
      <c r="C77" s="115">
        <v>1665</v>
      </c>
      <c r="D77" s="114" t="s">
        <v>8</v>
      </c>
      <c r="E77" s="114" t="s">
        <v>799</v>
      </c>
    </row>
    <row r="78" spans="1:5" ht="31" customHeight="1">
      <c r="A78" s="114" t="s">
        <v>71</v>
      </c>
      <c r="B78" s="114" t="s">
        <v>13</v>
      </c>
      <c r="C78" s="115">
        <v>1815</v>
      </c>
      <c r="D78" s="114" t="s">
        <v>148</v>
      </c>
      <c r="E78" s="114" t="s">
        <v>800</v>
      </c>
    </row>
    <row r="79" spans="1:5" ht="31" customHeight="1">
      <c r="A79" s="114" t="s">
        <v>55</v>
      </c>
      <c r="B79" s="114" t="s">
        <v>13</v>
      </c>
      <c r="C79" s="115">
        <v>1705</v>
      </c>
      <c r="D79" s="114" t="s">
        <v>13</v>
      </c>
      <c r="E79" s="114" t="s">
        <v>801</v>
      </c>
    </row>
    <row r="80" spans="1:5" ht="31" customHeight="1">
      <c r="A80" s="114" t="s">
        <v>27</v>
      </c>
      <c r="B80" s="114" t="s">
        <v>5</v>
      </c>
      <c r="C80" s="115">
        <v>1643</v>
      </c>
      <c r="D80" s="114" t="s">
        <v>737</v>
      </c>
      <c r="E80" s="114" t="s">
        <v>802</v>
      </c>
    </row>
    <row r="81" spans="1:5" ht="16" customHeight="1">
      <c r="A81" s="114" t="s">
        <v>107</v>
      </c>
      <c r="B81" s="114" t="s">
        <v>507</v>
      </c>
      <c r="C81" s="115">
        <v>1668</v>
      </c>
      <c r="D81" s="114" t="s">
        <v>737</v>
      </c>
      <c r="E81" s="114" t="s">
        <v>803</v>
      </c>
    </row>
    <row r="82" spans="1:5" ht="31" customHeight="1">
      <c r="A82" s="114" t="s">
        <v>0</v>
      </c>
      <c r="B82" s="114" t="s">
        <v>5</v>
      </c>
      <c r="C82" s="115">
        <v>1786</v>
      </c>
      <c r="D82" s="114" t="s">
        <v>5</v>
      </c>
      <c r="E82" s="114" t="s">
        <v>804</v>
      </c>
    </row>
    <row r="83" spans="1:5" ht="61" customHeight="1">
      <c r="A83" s="114" t="s">
        <v>116</v>
      </c>
      <c r="B83" s="114" t="s">
        <v>89</v>
      </c>
      <c r="C83" s="115">
        <v>1786</v>
      </c>
      <c r="D83" s="114" t="s">
        <v>805</v>
      </c>
      <c r="E83" s="114" t="s">
        <v>806</v>
      </c>
    </row>
    <row r="84" spans="1:5" ht="46" customHeight="1">
      <c r="A84" s="114" t="s">
        <v>3</v>
      </c>
      <c r="B84" s="114" t="s">
        <v>3</v>
      </c>
      <c r="C84" s="115">
        <v>1635</v>
      </c>
      <c r="D84" s="114" t="s">
        <v>737</v>
      </c>
      <c r="E84" s="114" t="s">
        <v>807</v>
      </c>
    </row>
    <row r="85" spans="1:5" ht="16" customHeight="1">
      <c r="A85" s="114" t="s">
        <v>126</v>
      </c>
      <c r="B85" s="114" t="s">
        <v>3</v>
      </c>
      <c r="C85" s="115">
        <v>1761</v>
      </c>
      <c r="D85" s="114" t="s">
        <v>737</v>
      </c>
      <c r="E85" s="114" t="s">
        <v>808</v>
      </c>
    </row>
    <row r="86" spans="1:5" ht="16" customHeight="1">
      <c r="A86" s="114" t="s">
        <v>122</v>
      </c>
      <c r="B86" s="114" t="s">
        <v>54</v>
      </c>
      <c r="C86" s="115">
        <v>1737</v>
      </c>
      <c r="D86" s="114" t="s">
        <v>737</v>
      </c>
      <c r="E86" s="114" t="s">
        <v>809</v>
      </c>
    </row>
    <row r="87" spans="1:5" ht="16" customHeight="1">
      <c r="A87" s="114" t="s">
        <v>132</v>
      </c>
      <c r="B87" s="114" t="s">
        <v>59</v>
      </c>
      <c r="C87" s="115">
        <v>1708</v>
      </c>
      <c r="D87" s="114" t="s">
        <v>737</v>
      </c>
      <c r="E87" s="114" t="s">
        <v>810</v>
      </c>
    </row>
    <row r="88" spans="1:5" ht="16" customHeight="1">
      <c r="A88" s="114" t="s">
        <v>140</v>
      </c>
      <c r="B88" s="114" t="s">
        <v>54</v>
      </c>
      <c r="C88" s="115">
        <v>1739</v>
      </c>
      <c r="D88" s="114" t="s">
        <v>737</v>
      </c>
      <c r="E88" s="114" t="s">
        <v>762</v>
      </c>
    </row>
    <row r="89" spans="1:5" ht="16" customHeight="1">
      <c r="A89" s="114" t="s">
        <v>139</v>
      </c>
      <c r="B89" s="114" t="s">
        <v>89</v>
      </c>
      <c r="C89" s="115">
        <v>1708</v>
      </c>
      <c r="D89" s="114" t="s">
        <v>737</v>
      </c>
      <c r="E89" s="114" t="s">
        <v>811</v>
      </c>
    </row>
    <row r="90" spans="1:5" ht="31" customHeight="1">
      <c r="A90" s="114" t="s">
        <v>150</v>
      </c>
      <c r="B90" s="114" t="s">
        <v>507</v>
      </c>
      <c r="C90" s="115">
        <v>1667</v>
      </c>
      <c r="D90" s="116"/>
      <c r="E90" s="114" t="s">
        <v>812</v>
      </c>
    </row>
    <row r="91" spans="1:5" ht="31" customHeight="1">
      <c r="A91" s="114" t="s">
        <v>144</v>
      </c>
      <c r="B91" s="114" t="s">
        <v>13</v>
      </c>
      <c r="C91" s="115">
        <v>1700</v>
      </c>
      <c r="D91" s="114" t="s">
        <v>737</v>
      </c>
      <c r="E91" s="114" t="s">
        <v>813</v>
      </c>
    </row>
    <row r="92" spans="1:5" ht="31" customHeight="1">
      <c r="A92" s="114" t="s">
        <v>51</v>
      </c>
      <c r="B92" s="114" t="s">
        <v>13</v>
      </c>
      <c r="C92" s="115">
        <v>1836</v>
      </c>
      <c r="D92" s="114" t="s">
        <v>55</v>
      </c>
      <c r="E92" s="114" t="s">
        <v>814</v>
      </c>
    </row>
    <row r="93" spans="1:5" ht="31" customHeight="1">
      <c r="A93" s="114" t="s">
        <v>102</v>
      </c>
      <c r="B93" s="114" t="s">
        <v>13</v>
      </c>
      <c r="C93" s="115">
        <v>1786</v>
      </c>
      <c r="D93" s="114" t="s">
        <v>78</v>
      </c>
      <c r="E93" s="114" t="s">
        <v>751</v>
      </c>
    </row>
    <row r="94" spans="1:5" ht="16" customHeight="1">
      <c r="A94" s="114" t="s">
        <v>54</v>
      </c>
      <c r="B94" s="114" t="s">
        <v>54</v>
      </c>
      <c r="C94" s="115">
        <v>1719</v>
      </c>
      <c r="D94" s="114" t="s">
        <v>737</v>
      </c>
      <c r="E94" s="114" t="s">
        <v>815</v>
      </c>
    </row>
    <row r="95" spans="1:5" ht="31" customHeight="1">
      <c r="A95" s="114" t="s">
        <v>108</v>
      </c>
      <c r="B95" s="114" t="s">
        <v>13</v>
      </c>
      <c r="C95" s="115">
        <v>1667</v>
      </c>
      <c r="D95" s="114" t="s">
        <v>768</v>
      </c>
      <c r="E95" s="114" t="s">
        <v>816</v>
      </c>
    </row>
    <row r="96" spans="1:5" ht="31" customHeight="1">
      <c r="A96" s="114" t="s">
        <v>118</v>
      </c>
      <c r="B96" s="114" t="s">
        <v>5</v>
      </c>
      <c r="C96" s="115">
        <v>1826</v>
      </c>
      <c r="D96" s="114" t="s">
        <v>27</v>
      </c>
      <c r="E96" s="114" t="s">
        <v>817</v>
      </c>
    </row>
    <row r="97" spans="1:5" ht="31" customHeight="1">
      <c r="A97" s="114" t="s">
        <v>60</v>
      </c>
      <c r="B97" s="114" t="s">
        <v>3</v>
      </c>
      <c r="C97" s="115">
        <v>1823</v>
      </c>
      <c r="D97" s="114" t="s">
        <v>34</v>
      </c>
      <c r="E97" s="114" t="s">
        <v>818</v>
      </c>
    </row>
    <row r="98" spans="1:5" ht="16" customHeight="1">
      <c r="A98" s="114" t="s">
        <v>52</v>
      </c>
      <c r="B98" s="114" t="s">
        <v>59</v>
      </c>
      <c r="C98" s="115">
        <v>1702</v>
      </c>
      <c r="D98" s="114" t="s">
        <v>89</v>
      </c>
      <c r="E98" s="114" t="s">
        <v>819</v>
      </c>
    </row>
    <row r="99" spans="1:5" ht="46" customHeight="1">
      <c r="A99" s="114" t="s">
        <v>46</v>
      </c>
      <c r="B99" s="114" t="s">
        <v>3</v>
      </c>
      <c r="C99" s="115">
        <v>1803</v>
      </c>
      <c r="D99" s="114" t="s">
        <v>820</v>
      </c>
      <c r="E99" s="114" t="s">
        <v>821</v>
      </c>
    </row>
    <row r="100" spans="1:5" ht="46" customHeight="1">
      <c r="A100" s="114" t="s">
        <v>15</v>
      </c>
      <c r="B100" s="114" t="s">
        <v>5</v>
      </c>
      <c r="C100" s="115">
        <v>1806</v>
      </c>
      <c r="D100" s="114" t="s">
        <v>134</v>
      </c>
      <c r="E100" s="114" t="s">
        <v>822</v>
      </c>
    </row>
    <row r="101" spans="1:5" ht="46" customHeight="1">
      <c r="A101" s="114" t="s">
        <v>72</v>
      </c>
      <c r="B101" s="114" t="s">
        <v>5</v>
      </c>
      <c r="C101" s="115">
        <v>1807</v>
      </c>
      <c r="D101" s="114" t="s">
        <v>823</v>
      </c>
      <c r="E101" s="114" t="s">
        <v>824</v>
      </c>
    </row>
    <row r="102" spans="1:5" ht="16" customHeight="1">
      <c r="A102" s="114" t="s">
        <v>74</v>
      </c>
      <c r="B102" s="114" t="s">
        <v>507</v>
      </c>
      <c r="C102" s="115">
        <v>1866</v>
      </c>
      <c r="D102" s="114" t="s">
        <v>110</v>
      </c>
      <c r="E102" s="114" t="s">
        <v>825</v>
      </c>
    </row>
    <row r="103" spans="1:5" ht="46" customHeight="1">
      <c r="A103" s="114" t="s">
        <v>110</v>
      </c>
      <c r="B103" s="114" t="s">
        <v>507</v>
      </c>
      <c r="C103" s="115">
        <v>1651</v>
      </c>
      <c r="D103" s="114" t="s">
        <v>737</v>
      </c>
      <c r="E103" s="114" t="s">
        <v>826</v>
      </c>
    </row>
    <row r="104" spans="1:5" ht="76" customHeight="1">
      <c r="A104" s="114" t="s">
        <v>18</v>
      </c>
      <c r="B104" s="114" t="s">
        <v>5</v>
      </c>
      <c r="C104" s="115">
        <v>1639</v>
      </c>
      <c r="D104" s="114" t="s">
        <v>737</v>
      </c>
      <c r="E104" s="114" t="s">
        <v>827</v>
      </c>
    </row>
    <row r="105" spans="1:5" ht="31" customHeight="1">
      <c r="A105" s="114" t="s">
        <v>35</v>
      </c>
      <c r="B105" s="114" t="s">
        <v>21</v>
      </c>
      <c r="C105" s="115">
        <v>1823</v>
      </c>
      <c r="D105" s="114" t="s">
        <v>828</v>
      </c>
      <c r="E105" s="114" t="s">
        <v>829</v>
      </c>
    </row>
    <row r="106" spans="1:5" ht="31" customHeight="1">
      <c r="A106" s="114" t="s">
        <v>86</v>
      </c>
      <c r="B106" s="114" t="s">
        <v>13</v>
      </c>
      <c r="C106" s="115">
        <v>1786</v>
      </c>
      <c r="D106" s="114" t="s">
        <v>13</v>
      </c>
      <c r="E106" s="114" t="s">
        <v>830</v>
      </c>
    </row>
    <row r="107" spans="1:5" ht="16" customHeight="1">
      <c r="A107" s="114" t="s">
        <v>115</v>
      </c>
      <c r="B107" s="114" t="s">
        <v>54</v>
      </c>
      <c r="C107" s="115">
        <v>1859</v>
      </c>
      <c r="D107" s="114" t="s">
        <v>54</v>
      </c>
      <c r="E107" s="114" t="s">
        <v>831</v>
      </c>
    </row>
    <row r="108" spans="1:5" ht="46" customHeight="1">
      <c r="A108" s="114" t="s">
        <v>10</v>
      </c>
      <c r="B108" s="114" t="s">
        <v>5</v>
      </c>
      <c r="C108" s="115">
        <v>1844</v>
      </c>
      <c r="D108" s="114" t="s">
        <v>832</v>
      </c>
      <c r="E108" s="114" t="s">
        <v>833</v>
      </c>
    </row>
    <row r="109" spans="1:5" ht="46" customHeight="1">
      <c r="A109" s="114" t="s">
        <v>40</v>
      </c>
      <c r="B109" s="114" t="s">
        <v>3</v>
      </c>
      <c r="C109" s="115">
        <v>1850</v>
      </c>
      <c r="D109" s="114" t="s">
        <v>61</v>
      </c>
      <c r="E109" s="114" t="s">
        <v>834</v>
      </c>
    </row>
    <row r="110" spans="1:5" ht="31" customHeight="1">
      <c r="A110" s="114" t="s">
        <v>83</v>
      </c>
      <c r="B110" s="114" t="s">
        <v>21</v>
      </c>
      <c r="C110" s="115">
        <v>1801</v>
      </c>
      <c r="D110" s="114" t="s">
        <v>835</v>
      </c>
      <c r="E110" s="114" t="s">
        <v>836</v>
      </c>
    </row>
    <row r="111" spans="1:5" ht="31" customHeight="1">
      <c r="A111" s="114" t="s">
        <v>80</v>
      </c>
      <c r="B111" s="114" t="s">
        <v>21</v>
      </c>
      <c r="C111" s="115">
        <v>1740</v>
      </c>
      <c r="D111" s="114" t="s">
        <v>737</v>
      </c>
      <c r="E111" s="114" t="s">
        <v>837</v>
      </c>
    </row>
    <row r="112" spans="1:5" ht="31" customHeight="1">
      <c r="A112" s="114" t="s">
        <v>112</v>
      </c>
      <c r="B112" s="114" t="s">
        <v>54</v>
      </c>
      <c r="C112" s="115">
        <v>1738</v>
      </c>
      <c r="D112" s="114" t="s">
        <v>737</v>
      </c>
      <c r="E112" s="114" t="s">
        <v>838</v>
      </c>
    </row>
    <row r="113" spans="1:5" ht="46" customHeight="1">
      <c r="A113" s="114" t="s">
        <v>5</v>
      </c>
      <c r="B113" s="114" t="s">
        <v>5</v>
      </c>
      <c r="C113" s="115">
        <v>1638</v>
      </c>
      <c r="D113" s="114" t="s">
        <v>737</v>
      </c>
      <c r="E113" s="114" t="s">
        <v>839</v>
      </c>
    </row>
    <row r="114" spans="1:5" ht="46" customHeight="1">
      <c r="A114" s="114" t="s">
        <v>13</v>
      </c>
      <c r="B114" s="114" t="s">
        <v>13</v>
      </c>
      <c r="C114" s="115">
        <v>1646</v>
      </c>
      <c r="D114" s="114" t="s">
        <v>737</v>
      </c>
      <c r="E114" s="114" t="s">
        <v>840</v>
      </c>
    </row>
    <row r="115" spans="1:5" ht="31" customHeight="1">
      <c r="A115" s="114" t="s">
        <v>136</v>
      </c>
      <c r="B115" s="114" t="s">
        <v>54</v>
      </c>
      <c r="C115" s="115">
        <v>1712</v>
      </c>
      <c r="D115" s="114" t="s">
        <v>737</v>
      </c>
      <c r="E115" s="114" t="s">
        <v>841</v>
      </c>
    </row>
    <row r="116" spans="1:5" ht="31" customHeight="1">
      <c r="A116" s="114" t="s">
        <v>141</v>
      </c>
      <c r="B116" s="114" t="s">
        <v>3</v>
      </c>
      <c r="C116" s="115">
        <v>1871</v>
      </c>
      <c r="D116" s="114" t="s">
        <v>47</v>
      </c>
      <c r="E116" s="114" t="s">
        <v>842</v>
      </c>
    </row>
    <row r="117" spans="1:5" ht="16" customHeight="1">
      <c r="A117" s="114" t="s">
        <v>36</v>
      </c>
      <c r="B117" s="114" t="s">
        <v>21</v>
      </c>
      <c r="C117" s="115">
        <v>1711</v>
      </c>
      <c r="D117" s="114" t="s">
        <v>737</v>
      </c>
      <c r="E117" s="114" t="s">
        <v>843</v>
      </c>
    </row>
    <row r="118" spans="1:5" ht="16" customHeight="1">
      <c r="A118" s="114" t="s">
        <v>85</v>
      </c>
      <c r="B118" s="114" t="s">
        <v>54</v>
      </c>
      <c r="C118" s="115">
        <v>1758</v>
      </c>
      <c r="D118" s="114" t="s">
        <v>737</v>
      </c>
      <c r="E118" s="114" t="s">
        <v>844</v>
      </c>
    </row>
    <row r="119" spans="1:5" ht="31" customHeight="1">
      <c r="A119" s="114" t="s">
        <v>63</v>
      </c>
      <c r="B119" s="114" t="s">
        <v>5</v>
      </c>
      <c r="C119" s="115">
        <v>1831</v>
      </c>
      <c r="D119" s="114" t="s">
        <v>152</v>
      </c>
      <c r="E119" s="114" t="s">
        <v>845</v>
      </c>
    </row>
    <row r="120" spans="1:5" ht="31" customHeight="1">
      <c r="A120" s="114" t="s">
        <v>11</v>
      </c>
      <c r="B120" s="114" t="s">
        <v>54</v>
      </c>
      <c r="C120" s="115">
        <v>1858</v>
      </c>
      <c r="D120" s="114" t="s">
        <v>96</v>
      </c>
      <c r="E120" s="114" t="s">
        <v>846</v>
      </c>
    </row>
    <row r="121" spans="1:5" ht="31" customHeight="1">
      <c r="A121" s="114" t="s">
        <v>31</v>
      </c>
      <c r="B121" s="114" t="s">
        <v>5</v>
      </c>
      <c r="C121" s="115">
        <v>1786</v>
      </c>
      <c r="D121" s="114" t="s">
        <v>5</v>
      </c>
      <c r="E121" s="114" t="s">
        <v>847</v>
      </c>
    </row>
    <row r="122" spans="1:5" ht="31" customHeight="1">
      <c r="A122" s="114" t="s">
        <v>57</v>
      </c>
      <c r="B122" s="114" t="s">
        <v>13</v>
      </c>
      <c r="C122" s="115">
        <v>1807</v>
      </c>
      <c r="D122" s="114" t="s">
        <v>147</v>
      </c>
      <c r="E122" s="114" t="s">
        <v>848</v>
      </c>
    </row>
    <row r="123" spans="1:5" ht="31" customHeight="1">
      <c r="A123" s="114" t="s">
        <v>58</v>
      </c>
      <c r="B123" s="114" t="s">
        <v>21</v>
      </c>
      <c r="C123" s="115">
        <v>1651</v>
      </c>
      <c r="D123" s="114" t="s">
        <v>737</v>
      </c>
      <c r="E123" s="114" t="s">
        <v>849</v>
      </c>
    </row>
    <row r="124" spans="1:5" ht="61" customHeight="1">
      <c r="A124" s="114" t="s">
        <v>78</v>
      </c>
      <c r="B124" s="114" t="s">
        <v>13</v>
      </c>
      <c r="C124" s="115">
        <v>1662</v>
      </c>
      <c r="D124" s="114" t="s">
        <v>737</v>
      </c>
      <c r="E124" s="114" t="s">
        <v>850</v>
      </c>
    </row>
    <row r="125" spans="1:5" ht="61" customHeight="1">
      <c r="A125" s="114" t="s">
        <v>162</v>
      </c>
      <c r="B125" s="114" t="s">
        <v>13</v>
      </c>
      <c r="C125" s="115">
        <v>1855</v>
      </c>
      <c r="D125" s="114" t="s">
        <v>108</v>
      </c>
      <c r="E125" s="114" t="s">
        <v>851</v>
      </c>
    </row>
    <row r="126" spans="1:5" ht="46" customHeight="1">
      <c r="A126" s="114" t="s">
        <v>33</v>
      </c>
      <c r="B126" s="114" t="s">
        <v>507</v>
      </c>
      <c r="C126" s="115">
        <v>1854</v>
      </c>
      <c r="D126" s="114" t="s">
        <v>852</v>
      </c>
      <c r="E126" s="114" t="s">
        <v>853</v>
      </c>
    </row>
    <row r="127" spans="1:5" ht="31" customHeight="1">
      <c r="A127" s="114" t="s">
        <v>124</v>
      </c>
      <c r="B127" s="114" t="s">
        <v>5</v>
      </c>
      <c r="C127" s="115">
        <v>1822</v>
      </c>
      <c r="D127" s="114" t="s">
        <v>854</v>
      </c>
      <c r="E127" s="114" t="s">
        <v>855</v>
      </c>
    </row>
    <row r="128" spans="1:5" ht="31" customHeight="1">
      <c r="A128" s="114" t="s">
        <v>157</v>
      </c>
      <c r="B128" s="114" t="s">
        <v>5</v>
      </c>
      <c r="C128" s="115">
        <v>1798</v>
      </c>
      <c r="D128" s="114" t="s">
        <v>856</v>
      </c>
      <c r="E128" s="114" t="s">
        <v>857</v>
      </c>
    </row>
    <row r="129" spans="1:5" ht="31" customHeight="1">
      <c r="A129" s="114" t="s">
        <v>129</v>
      </c>
      <c r="B129" s="114" t="s">
        <v>89</v>
      </c>
      <c r="C129" s="115">
        <v>1699</v>
      </c>
      <c r="D129" s="114" t="s">
        <v>737</v>
      </c>
      <c r="E129" s="114" t="s">
        <v>858</v>
      </c>
    </row>
    <row r="130" spans="1:5" ht="16" customHeight="1">
      <c r="A130" s="114" t="s">
        <v>79</v>
      </c>
      <c r="B130" s="114" t="s">
        <v>3</v>
      </c>
      <c r="C130" s="115">
        <v>1869</v>
      </c>
      <c r="D130" s="114" t="s">
        <v>50</v>
      </c>
      <c r="E130" s="114" t="s">
        <v>859</v>
      </c>
    </row>
    <row r="131" spans="1:5" ht="16" customHeight="1">
      <c r="A131" s="114" t="s">
        <v>299</v>
      </c>
      <c r="B131" s="114" t="s">
        <v>54</v>
      </c>
      <c r="C131" s="115">
        <v>1795</v>
      </c>
      <c r="D131" s="114" t="s">
        <v>25</v>
      </c>
      <c r="E131" s="114" t="s">
        <v>860</v>
      </c>
    </row>
    <row r="132" spans="1:5" ht="16" customHeight="1">
      <c r="A132" s="114" t="s">
        <v>97</v>
      </c>
      <c r="B132" s="114" t="s">
        <v>89</v>
      </c>
      <c r="C132" s="115">
        <v>1713</v>
      </c>
      <c r="D132" s="114" t="s">
        <v>737</v>
      </c>
      <c r="E132" s="114" t="s">
        <v>861</v>
      </c>
    </row>
    <row r="133" spans="1:5" ht="16" customHeight="1">
      <c r="A133" s="114" t="s">
        <v>128</v>
      </c>
      <c r="B133" s="114" t="s">
        <v>507</v>
      </c>
      <c r="C133" s="115">
        <v>1841</v>
      </c>
      <c r="D133" s="114" t="s">
        <v>862</v>
      </c>
      <c r="E133" s="114" t="s">
        <v>863</v>
      </c>
    </row>
    <row r="134" spans="1:5" ht="31" customHeight="1">
      <c r="A134" s="114" t="s">
        <v>148</v>
      </c>
      <c r="B134" s="114" t="s">
        <v>13</v>
      </c>
      <c r="C134" s="115">
        <v>1687</v>
      </c>
      <c r="D134" s="114" t="s">
        <v>737</v>
      </c>
      <c r="E134" s="114" t="s">
        <v>864</v>
      </c>
    </row>
    <row r="135" spans="1:5" ht="31" customHeight="1">
      <c r="A135" s="114" t="s">
        <v>29</v>
      </c>
      <c r="B135" s="114" t="s">
        <v>5</v>
      </c>
      <c r="C135" s="115">
        <v>1827</v>
      </c>
      <c r="D135" s="114" t="s">
        <v>865</v>
      </c>
      <c r="E135" s="114" t="s">
        <v>866</v>
      </c>
    </row>
    <row r="136" spans="1:5" ht="76" customHeight="1">
      <c r="A136" s="114" t="s">
        <v>156</v>
      </c>
      <c r="B136" s="114" t="s">
        <v>89</v>
      </c>
      <c r="C136" s="115">
        <v>1855</v>
      </c>
      <c r="D136" s="114" t="s">
        <v>867</v>
      </c>
      <c r="E136" s="114" t="s">
        <v>868</v>
      </c>
    </row>
    <row r="137" spans="1:5" ht="16" customHeight="1">
      <c r="A137" s="114" t="s">
        <v>106</v>
      </c>
      <c r="B137" s="114" t="s">
        <v>21</v>
      </c>
      <c r="C137" s="115">
        <v>1767</v>
      </c>
      <c r="D137" s="114" t="s">
        <v>21</v>
      </c>
      <c r="E137" s="114" t="s">
        <v>869</v>
      </c>
    </row>
    <row r="138" spans="1:5" ht="46" customHeight="1">
      <c r="A138" s="114" t="s">
        <v>48</v>
      </c>
      <c r="B138" s="114" t="s">
        <v>21</v>
      </c>
      <c r="C138" s="115">
        <v>1709</v>
      </c>
      <c r="D138" s="114" t="s">
        <v>737</v>
      </c>
      <c r="E138" s="114" t="s">
        <v>870</v>
      </c>
    </row>
    <row r="139" spans="1:5" ht="16" customHeight="1">
      <c r="A139" s="114" t="s">
        <v>41</v>
      </c>
      <c r="B139" s="114" t="s">
        <v>3</v>
      </c>
      <c r="C139" s="115">
        <v>1843</v>
      </c>
      <c r="D139" s="114" t="s">
        <v>47</v>
      </c>
      <c r="E139" s="114" t="s">
        <v>871</v>
      </c>
    </row>
    <row r="140" spans="1:5" ht="16" customHeight="1">
      <c r="A140" s="114" t="s">
        <v>159</v>
      </c>
      <c r="B140" s="114" t="s">
        <v>54</v>
      </c>
      <c r="C140" s="115">
        <v>1796</v>
      </c>
      <c r="D140" s="114" t="s">
        <v>98</v>
      </c>
      <c r="E140" s="114" t="s">
        <v>872</v>
      </c>
    </row>
    <row r="141" spans="1:5" ht="31" customHeight="1">
      <c r="A141" s="114" t="s">
        <v>131</v>
      </c>
      <c r="B141" s="114" t="s">
        <v>13</v>
      </c>
      <c r="C141" s="115">
        <v>1819</v>
      </c>
      <c r="D141" s="114" t="s">
        <v>873</v>
      </c>
      <c r="E141" s="114" t="s">
        <v>874</v>
      </c>
    </row>
    <row r="142" spans="1:5" ht="16" customHeight="1">
      <c r="A142" s="114" t="s">
        <v>111</v>
      </c>
      <c r="B142" s="114" t="s">
        <v>54</v>
      </c>
      <c r="C142" s="115">
        <v>1741</v>
      </c>
      <c r="D142" s="114" t="s">
        <v>737</v>
      </c>
      <c r="E142" s="114" t="s">
        <v>875</v>
      </c>
    </row>
    <row r="143" spans="1:5" ht="16" customHeight="1">
      <c r="A143" s="114" t="s">
        <v>76</v>
      </c>
      <c r="B143" s="114" t="s">
        <v>89</v>
      </c>
      <c r="C143" s="115">
        <v>1857</v>
      </c>
      <c r="D143" s="114" t="s">
        <v>89</v>
      </c>
      <c r="E143" s="114" t="s">
        <v>876</v>
      </c>
    </row>
    <row r="144" spans="1:5" ht="31" customHeight="1">
      <c r="A144" s="114" t="s">
        <v>24</v>
      </c>
      <c r="B144" s="114" t="s">
        <v>5</v>
      </c>
      <c r="C144" s="115">
        <v>1850</v>
      </c>
      <c r="D144" s="114" t="s">
        <v>9</v>
      </c>
      <c r="E144" s="114" t="s">
        <v>877</v>
      </c>
    </row>
    <row r="145" spans="1:5" ht="16" customHeight="1">
      <c r="A145" s="114" t="s">
        <v>142</v>
      </c>
      <c r="B145" s="114" t="s">
        <v>54</v>
      </c>
      <c r="C145" s="115">
        <v>1739</v>
      </c>
      <c r="D145" s="114" t="s">
        <v>737</v>
      </c>
      <c r="E145" s="114" t="s">
        <v>762</v>
      </c>
    </row>
    <row r="146" spans="1:5" ht="46" customHeight="1">
      <c r="A146" s="114" t="s">
        <v>44</v>
      </c>
      <c r="B146" s="114" t="s">
        <v>21</v>
      </c>
      <c r="C146" s="115">
        <v>1789</v>
      </c>
      <c r="D146" s="114" t="s">
        <v>2</v>
      </c>
      <c r="E146" s="114" t="s">
        <v>878</v>
      </c>
    </row>
    <row r="147" spans="1:5" ht="31" customHeight="1">
      <c r="A147" s="114" t="s">
        <v>95</v>
      </c>
      <c r="B147" s="114" t="s">
        <v>21</v>
      </c>
      <c r="C147" s="115">
        <v>1802</v>
      </c>
      <c r="D147" s="114" t="s">
        <v>80</v>
      </c>
      <c r="E147" s="114" t="s">
        <v>879</v>
      </c>
    </row>
    <row r="148" spans="1:5" ht="16" customHeight="1">
      <c r="A148" s="114" t="s">
        <v>88</v>
      </c>
      <c r="B148" s="114" t="s">
        <v>3</v>
      </c>
      <c r="C148" s="115">
        <v>1670</v>
      </c>
      <c r="D148" s="114" t="s">
        <v>737</v>
      </c>
      <c r="E148" s="114" t="s">
        <v>880</v>
      </c>
    </row>
    <row r="149" spans="1:5" ht="31" customHeight="1">
      <c r="A149" s="114" t="s">
        <v>151</v>
      </c>
      <c r="B149" s="114" t="s">
        <v>59</v>
      </c>
      <c r="C149" s="115">
        <v>1734</v>
      </c>
      <c r="D149" s="114" t="s">
        <v>143</v>
      </c>
      <c r="E149" s="114" t="s">
        <v>881</v>
      </c>
    </row>
    <row r="150" spans="1:5" ht="31" customHeight="1">
      <c r="A150" s="114" t="s">
        <v>42</v>
      </c>
      <c r="B150" s="114" t="s">
        <v>3</v>
      </c>
      <c r="C150" s="115">
        <v>1845</v>
      </c>
      <c r="D150" s="114" t="s">
        <v>154</v>
      </c>
      <c r="E150" s="114" t="s">
        <v>882</v>
      </c>
    </row>
    <row r="151" spans="1:5" ht="31" customHeight="1">
      <c r="A151" s="114" t="s">
        <v>100</v>
      </c>
      <c r="B151" s="114" t="s">
        <v>5</v>
      </c>
      <c r="C151" s="115">
        <v>1787</v>
      </c>
      <c r="D151" s="114" t="s">
        <v>98</v>
      </c>
      <c r="E151" s="114" t="s">
        <v>883</v>
      </c>
    </row>
    <row r="152" spans="1:5" ht="46" customHeight="1">
      <c r="A152" s="114" t="s">
        <v>94</v>
      </c>
      <c r="B152" s="114" t="s">
        <v>3</v>
      </c>
      <c r="C152" s="115">
        <v>1779</v>
      </c>
      <c r="D152" s="114" t="s">
        <v>50</v>
      </c>
      <c r="E152" s="114" t="s">
        <v>884</v>
      </c>
    </row>
    <row r="153" spans="1:5" ht="31" customHeight="1">
      <c r="A153" s="114" t="s">
        <v>7</v>
      </c>
      <c r="B153" s="114" t="s">
        <v>13</v>
      </c>
      <c r="C153" s="115">
        <v>1861</v>
      </c>
      <c r="D153" s="114" t="s">
        <v>885</v>
      </c>
      <c r="E153" s="114" t="s">
        <v>886</v>
      </c>
    </row>
    <row r="154" spans="1:5" ht="16" customHeight="1">
      <c r="A154" s="114" t="s">
        <v>45</v>
      </c>
      <c r="B154" s="114" t="s">
        <v>59</v>
      </c>
      <c r="C154" s="115">
        <v>1719</v>
      </c>
      <c r="D154" s="114" t="s">
        <v>737</v>
      </c>
      <c r="E154" s="114" t="s">
        <v>887</v>
      </c>
    </row>
    <row r="155" spans="1:5" ht="226" customHeight="1">
      <c r="A155" s="114" t="s">
        <v>8</v>
      </c>
      <c r="B155" s="114" t="s">
        <v>21</v>
      </c>
      <c r="C155" s="115">
        <v>1641</v>
      </c>
      <c r="D155" s="114" t="s">
        <v>737</v>
      </c>
      <c r="E155" s="114" t="s">
        <v>888</v>
      </c>
    </row>
    <row r="156" spans="1:5" ht="16" customHeight="1">
      <c r="A156" s="114" t="s">
        <v>161</v>
      </c>
      <c r="B156" s="114" t="s">
        <v>89</v>
      </c>
      <c r="C156" s="115">
        <v>1794</v>
      </c>
      <c r="D156" s="114" t="s">
        <v>138</v>
      </c>
      <c r="E156" s="114" t="s">
        <v>889</v>
      </c>
    </row>
    <row r="157" spans="1:5" ht="31" customHeight="1">
      <c r="A157" s="114" t="s">
        <v>147</v>
      </c>
      <c r="B157" s="114" t="s">
        <v>13</v>
      </c>
      <c r="C157" s="115">
        <v>1662</v>
      </c>
      <c r="D157" s="114" t="s">
        <v>737</v>
      </c>
      <c r="E157" s="114" t="s">
        <v>890</v>
      </c>
    </row>
    <row r="158" spans="1:5" ht="16" customHeight="1">
      <c r="A158" s="114" t="s">
        <v>2</v>
      </c>
      <c r="B158" s="114" t="s">
        <v>21</v>
      </c>
      <c r="C158" s="115">
        <v>1639</v>
      </c>
      <c r="D158" s="114" t="s">
        <v>737</v>
      </c>
      <c r="E158" s="114" t="s">
        <v>891</v>
      </c>
    </row>
    <row r="159" spans="1:5" ht="31" customHeight="1">
      <c r="A159" s="114" t="s">
        <v>137</v>
      </c>
      <c r="B159" s="114" t="s">
        <v>3</v>
      </c>
      <c r="C159" s="115">
        <v>1674</v>
      </c>
      <c r="D159" s="114" t="s">
        <v>737</v>
      </c>
      <c r="E159" s="114" t="s">
        <v>892</v>
      </c>
    </row>
    <row r="160" spans="1:5" ht="16" customHeight="1">
      <c r="A160" s="114" t="s">
        <v>39</v>
      </c>
      <c r="B160" s="114" t="s">
        <v>54</v>
      </c>
      <c r="C160" s="115">
        <v>1875</v>
      </c>
      <c r="D160" s="114" t="s">
        <v>299</v>
      </c>
      <c r="E160" s="114" t="s">
        <v>893</v>
      </c>
    </row>
    <row r="161" spans="1:5" ht="16" customHeight="1">
      <c r="A161" s="114" t="s">
        <v>62</v>
      </c>
      <c r="B161" s="114" t="s">
        <v>89</v>
      </c>
      <c r="C161" s="115">
        <v>1785</v>
      </c>
      <c r="D161" s="114" t="s">
        <v>139</v>
      </c>
      <c r="E161" s="114" t="s">
        <v>894</v>
      </c>
    </row>
    <row r="162" spans="1:5" ht="16" customHeight="1">
      <c r="A162" s="114" t="s">
        <v>59</v>
      </c>
      <c r="B162" s="114" t="s">
        <v>59</v>
      </c>
      <c r="C162" s="115">
        <v>1715</v>
      </c>
      <c r="D162" s="114" t="s">
        <v>737</v>
      </c>
      <c r="E162" s="114" t="s">
        <v>895</v>
      </c>
    </row>
    <row r="163" spans="1:5" ht="46" customHeight="1">
      <c r="A163" s="114" t="s">
        <v>32</v>
      </c>
      <c r="B163" s="114" t="s">
        <v>54</v>
      </c>
      <c r="C163" s="115">
        <v>1740</v>
      </c>
      <c r="D163" s="114" t="s">
        <v>737</v>
      </c>
      <c r="E163" s="114" t="s">
        <v>896</v>
      </c>
    </row>
    <row r="164" spans="1:5" ht="16" customHeight="1">
      <c r="A164" s="114" t="s">
        <v>26</v>
      </c>
      <c r="B164" s="114" t="s">
        <v>21</v>
      </c>
      <c r="C164" s="115">
        <v>1797</v>
      </c>
      <c r="D164" s="114" t="s">
        <v>2</v>
      </c>
      <c r="E164" s="114" t="s">
        <v>897</v>
      </c>
    </row>
    <row r="165" spans="1:5" ht="16" customHeight="1">
      <c r="A165" s="114" t="s">
        <v>17</v>
      </c>
      <c r="B165" s="114" t="s">
        <v>59</v>
      </c>
      <c r="C165" s="115">
        <v>1734</v>
      </c>
      <c r="D165" s="114" t="s">
        <v>737</v>
      </c>
      <c r="E165" s="114" t="s">
        <v>898</v>
      </c>
    </row>
    <row r="166" spans="1:5" ht="61" customHeight="1">
      <c r="A166" s="114" t="s">
        <v>127</v>
      </c>
      <c r="B166" s="114" t="s">
        <v>59</v>
      </c>
      <c r="C166" s="115">
        <v>1808</v>
      </c>
      <c r="D166" s="114" t="s">
        <v>70</v>
      </c>
      <c r="E166" s="114" t="s">
        <v>899</v>
      </c>
    </row>
    <row r="167" spans="1:5" ht="31" customHeight="1">
      <c r="A167" s="114" t="s">
        <v>138</v>
      </c>
      <c r="B167" s="114" t="s">
        <v>13</v>
      </c>
      <c r="C167" s="115">
        <v>1721</v>
      </c>
      <c r="D167" s="114" t="s">
        <v>737</v>
      </c>
      <c r="E167" s="114" t="s">
        <v>900</v>
      </c>
    </row>
    <row r="168" spans="1:5" ht="31" customHeight="1">
      <c r="A168" s="114" t="s">
        <v>134</v>
      </c>
      <c r="B168" s="114" t="s">
        <v>5</v>
      </c>
      <c r="C168" s="115">
        <v>1670</v>
      </c>
      <c r="D168" s="114" t="s">
        <v>5</v>
      </c>
      <c r="E168" s="114" t="s">
        <v>901</v>
      </c>
    </row>
    <row r="169" spans="1:5" ht="16" customHeight="1">
      <c r="A169" s="114" t="s">
        <v>163</v>
      </c>
      <c r="B169" s="114" t="s">
        <v>54</v>
      </c>
      <c r="C169" s="115">
        <v>1786</v>
      </c>
      <c r="D169" s="114" t="s">
        <v>140</v>
      </c>
      <c r="E169" s="114" t="s">
        <v>902</v>
      </c>
    </row>
    <row r="170" spans="1:5" ht="46" customHeight="1">
      <c r="A170" s="114" t="s">
        <v>158</v>
      </c>
      <c r="B170" s="114" t="s">
        <v>54</v>
      </c>
      <c r="C170" s="115">
        <v>1779</v>
      </c>
      <c r="D170" s="114" t="s">
        <v>903</v>
      </c>
      <c r="E170" s="114" t="s">
        <v>904</v>
      </c>
    </row>
    <row r="171" spans="1:5" ht="46" customHeight="1">
      <c r="A171" s="114" t="s">
        <v>1</v>
      </c>
      <c r="B171" s="114" t="s">
        <v>5</v>
      </c>
      <c r="C171" s="115">
        <v>1686</v>
      </c>
      <c r="D171" s="114" t="s">
        <v>737</v>
      </c>
      <c r="E171" s="114" t="s">
        <v>905</v>
      </c>
    </row>
    <row r="172" spans="1:5" ht="31" customHeight="1">
      <c r="A172" s="114" t="s">
        <v>19</v>
      </c>
      <c r="B172" s="114" t="s">
        <v>13</v>
      </c>
      <c r="C172" s="115">
        <v>1801</v>
      </c>
      <c r="D172" s="114" t="s">
        <v>13</v>
      </c>
      <c r="E172" s="114" t="s">
        <v>906</v>
      </c>
    </row>
    <row r="173" spans="1:5" ht="16" customHeight="1">
      <c r="A173" s="114" t="s">
        <v>25</v>
      </c>
      <c r="B173" s="114" t="s">
        <v>54</v>
      </c>
      <c r="C173" s="115">
        <v>1780</v>
      </c>
      <c r="D173" s="114" t="s">
        <v>1</v>
      </c>
      <c r="E173" s="114" t="s">
        <v>907</v>
      </c>
    </row>
    <row r="174" spans="1:5" ht="31" customHeight="1">
      <c r="A174" s="114" t="s">
        <v>30</v>
      </c>
      <c r="B174" s="114" t="s">
        <v>3</v>
      </c>
      <c r="C174" s="115">
        <v>1854</v>
      </c>
      <c r="D174" s="114" t="s">
        <v>3</v>
      </c>
      <c r="E174" s="114" t="s">
        <v>908</v>
      </c>
    </row>
    <row r="175" spans="1:5" ht="31" customHeight="1">
      <c r="A175" s="114" t="s">
        <v>6</v>
      </c>
      <c r="B175" s="114" t="s">
        <v>5</v>
      </c>
      <c r="C175" s="115">
        <v>1921</v>
      </c>
      <c r="D175" s="114" t="s">
        <v>124</v>
      </c>
      <c r="E175" s="114" t="s">
        <v>909</v>
      </c>
    </row>
    <row r="176" spans="1:5" ht="31" customHeight="1">
      <c r="A176" s="114" t="s">
        <v>68</v>
      </c>
      <c r="B176" s="114" t="s">
        <v>507</v>
      </c>
      <c r="C176" s="115">
        <v>1840</v>
      </c>
      <c r="D176" s="114" t="s">
        <v>768</v>
      </c>
      <c r="E176" s="114" t="s">
        <v>910</v>
      </c>
    </row>
    <row r="177" spans="1:5" ht="46" customHeight="1">
      <c r="A177" s="114" t="s">
        <v>99</v>
      </c>
      <c r="B177" s="114" t="s">
        <v>21</v>
      </c>
      <c r="C177" s="115">
        <v>1787</v>
      </c>
      <c r="D177" s="114" t="s">
        <v>21</v>
      </c>
      <c r="E177" s="114" t="s">
        <v>911</v>
      </c>
    </row>
    <row r="178" spans="1:5" ht="31" customHeight="1">
      <c r="A178" s="114" t="s">
        <v>109</v>
      </c>
      <c r="B178" s="114" t="s">
        <v>21</v>
      </c>
      <c r="C178" s="115">
        <v>1835</v>
      </c>
      <c r="D178" s="114" t="s">
        <v>912</v>
      </c>
      <c r="E178" s="114" t="s">
        <v>913</v>
      </c>
    </row>
    <row r="179" spans="1:5" ht="31" customHeight="1">
      <c r="A179" s="114" t="s">
        <v>47</v>
      </c>
      <c r="B179" s="114" t="s">
        <v>3</v>
      </c>
      <c r="C179" s="115">
        <v>1634</v>
      </c>
      <c r="D179" s="114" t="s">
        <v>737</v>
      </c>
      <c r="E179" s="114" t="s">
        <v>914</v>
      </c>
    </row>
    <row r="180" spans="1:5" ht="16" customHeight="1">
      <c r="A180" s="114" t="s">
        <v>113</v>
      </c>
      <c r="B180" s="114" t="s">
        <v>59</v>
      </c>
      <c r="C180" s="115">
        <v>1727</v>
      </c>
      <c r="D180" s="114" t="s">
        <v>737</v>
      </c>
      <c r="E180" s="114" t="s">
        <v>915</v>
      </c>
    </row>
    <row r="181" spans="1:5" ht="16" customHeight="1">
      <c r="A181" s="114" t="s">
        <v>65</v>
      </c>
      <c r="B181" s="114" t="s">
        <v>21</v>
      </c>
      <c r="C181" s="115">
        <v>1802</v>
      </c>
      <c r="D181" s="114" t="s">
        <v>58</v>
      </c>
      <c r="E181" s="114" t="s">
        <v>916</v>
      </c>
    </row>
    <row r="182" spans="1:5" ht="16" customHeight="1">
      <c r="A182" s="114" t="s">
        <v>145</v>
      </c>
      <c r="B182" s="114" t="s">
        <v>54</v>
      </c>
      <c r="C182" s="115">
        <v>1771</v>
      </c>
      <c r="D182" s="114" t="s">
        <v>737</v>
      </c>
      <c r="E182" s="114" t="s">
        <v>917</v>
      </c>
    </row>
    <row r="183" spans="1:5" ht="61" customHeight="1">
      <c r="A183" s="114" t="s">
        <v>89</v>
      </c>
      <c r="B183" s="114" t="s">
        <v>89</v>
      </c>
      <c r="C183" s="115">
        <v>1692</v>
      </c>
      <c r="D183" s="114" t="s">
        <v>737</v>
      </c>
      <c r="E183" s="114" t="s">
        <v>918</v>
      </c>
    </row>
    <row r="184" spans="1:5" ht="31" customHeight="1">
      <c r="A184" s="114" t="s">
        <v>117</v>
      </c>
      <c r="B184" s="114" t="s">
        <v>3</v>
      </c>
      <c r="C184" s="115">
        <v>1633</v>
      </c>
      <c r="D184" s="114" t="s">
        <v>737</v>
      </c>
      <c r="E184" s="114" t="s">
        <v>919</v>
      </c>
    </row>
    <row r="185" spans="1:5" ht="31" customHeight="1">
      <c r="A185" s="114" t="s">
        <v>160</v>
      </c>
      <c r="B185" s="114" t="s">
        <v>3</v>
      </c>
      <c r="C185" s="115">
        <v>1854</v>
      </c>
      <c r="D185" s="114" t="s">
        <v>117</v>
      </c>
      <c r="E185" s="114" t="s">
        <v>920</v>
      </c>
    </row>
    <row r="186" spans="1:5" ht="31" customHeight="1">
      <c r="A186" s="114" t="s">
        <v>28</v>
      </c>
      <c r="B186" s="114" t="s">
        <v>5</v>
      </c>
      <c r="C186" s="115">
        <v>1796</v>
      </c>
      <c r="D186" s="114" t="s">
        <v>921</v>
      </c>
      <c r="E186" s="114" t="s">
        <v>922</v>
      </c>
    </row>
    <row r="187" spans="1:5" ht="31" customHeight="1">
      <c r="A187" s="114" t="s">
        <v>66</v>
      </c>
      <c r="B187" s="114" t="s">
        <v>5</v>
      </c>
      <c r="C187" s="115">
        <v>1784</v>
      </c>
      <c r="D187" s="114" t="s">
        <v>923</v>
      </c>
      <c r="E187" s="114" t="s">
        <v>924</v>
      </c>
    </row>
    <row r="188" spans="1:5" ht="16" customHeight="1">
      <c r="A188" s="114" t="s">
        <v>98</v>
      </c>
      <c r="B188" s="114" t="s">
        <v>54</v>
      </c>
      <c r="C188" s="115">
        <v>1673</v>
      </c>
      <c r="D188" s="114" t="s">
        <v>737</v>
      </c>
      <c r="E188" s="114" t="s">
        <v>925</v>
      </c>
    </row>
    <row r="189" spans="1:5" ht="61" customHeight="1">
      <c r="A189" s="114" t="s">
        <v>114</v>
      </c>
      <c r="B189" s="114" t="s">
        <v>89</v>
      </c>
      <c r="C189" s="115">
        <v>1690</v>
      </c>
      <c r="D189" s="114" t="s">
        <v>737</v>
      </c>
      <c r="E189" s="114" t="s">
        <v>926</v>
      </c>
    </row>
  </sheetData>
  <pageMargins left="0.7" right="0.7" top="0.75" bottom="0.75" header="0.3" footer="0.3"/>
  <pageSetup orientation="portrait"/>
  <headerFooter>
    <oddFooter>&amp;C&amp;"Helvetica,Regular"&amp;12&amp;K000000&amp;P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196"/>
  <sheetViews>
    <sheetView showGridLines="0" workbookViewId="0"/>
  </sheetViews>
  <sheetFormatPr baseColWidth="10" defaultColWidth="8.83203125" defaultRowHeight="14" customHeight="1"/>
  <cols>
    <col min="1" max="1" width="64" style="117" customWidth="1"/>
    <col min="2" max="2" width="17" style="117" customWidth="1"/>
    <col min="3" max="3" width="12" style="117" customWidth="1"/>
    <col min="4" max="4" width="5" style="117" customWidth="1"/>
    <col min="5" max="256" width="8.83203125" style="117" customWidth="1"/>
  </cols>
  <sheetData>
    <row r="1" spans="1:5" ht="15" customHeight="1">
      <c r="A1" s="5"/>
      <c r="B1" s="5"/>
      <c r="C1" s="5"/>
      <c r="D1" s="5"/>
      <c r="E1" s="5"/>
    </row>
    <row r="2" spans="1:5" ht="15" customHeight="1">
      <c r="A2" s="118"/>
      <c r="B2" s="118"/>
      <c r="C2" s="118"/>
      <c r="D2" s="118"/>
      <c r="E2" s="5"/>
    </row>
    <row r="3" spans="1:5" ht="15" customHeight="1">
      <c r="A3" s="119" t="s">
        <v>927</v>
      </c>
      <c r="B3" s="120"/>
      <c r="C3" s="121" t="s">
        <v>928</v>
      </c>
      <c r="D3" s="120"/>
      <c r="E3" s="19"/>
    </row>
    <row r="4" spans="1:5" ht="15" customHeight="1">
      <c r="A4" s="122" t="s">
        <v>929</v>
      </c>
      <c r="B4" s="123" t="s">
        <v>930</v>
      </c>
      <c r="C4" s="124">
        <v>2015</v>
      </c>
      <c r="D4" s="124">
        <v>2016</v>
      </c>
      <c r="E4" s="19"/>
    </row>
    <row r="5" spans="1:5" ht="15" customHeight="1">
      <c r="A5" s="125" t="s">
        <v>931</v>
      </c>
      <c r="B5" s="126" t="s">
        <v>932</v>
      </c>
      <c r="C5" s="127">
        <v>4.5</v>
      </c>
      <c r="D5" s="127">
        <v>4.0999999999999996</v>
      </c>
      <c r="E5" s="5"/>
    </row>
    <row r="6" spans="1:5" ht="15" customHeight="1">
      <c r="A6" s="59" t="s">
        <v>933</v>
      </c>
      <c r="B6" s="2" t="s">
        <v>934</v>
      </c>
      <c r="C6" s="42">
        <v>8.1</v>
      </c>
      <c r="D6" s="42">
        <v>7</v>
      </c>
      <c r="E6" s="5"/>
    </row>
    <row r="7" spans="1:5" ht="15" customHeight="1">
      <c r="A7" s="59" t="s">
        <v>935</v>
      </c>
      <c r="B7" s="2" t="s">
        <v>936</v>
      </c>
      <c r="C7" s="42">
        <v>4.5</v>
      </c>
      <c r="D7" s="42">
        <v>4.4000000000000004</v>
      </c>
      <c r="E7" s="5"/>
    </row>
    <row r="8" spans="1:5" ht="15" customHeight="1">
      <c r="A8" s="59" t="s">
        <v>937</v>
      </c>
      <c r="B8" s="2" t="s">
        <v>938</v>
      </c>
      <c r="C8" s="42">
        <v>3.7</v>
      </c>
      <c r="D8" s="42">
        <v>3.4</v>
      </c>
      <c r="E8" s="5"/>
    </row>
    <row r="9" spans="1:5" ht="15" customHeight="1">
      <c r="A9" s="59" t="s">
        <v>939</v>
      </c>
      <c r="B9" s="2" t="s">
        <v>940</v>
      </c>
      <c r="C9" s="42">
        <v>4.5999999999999996</v>
      </c>
      <c r="D9" s="42">
        <v>4.4000000000000004</v>
      </c>
      <c r="E9" s="5"/>
    </row>
    <row r="10" spans="1:5" ht="15" customHeight="1">
      <c r="A10" s="59" t="s">
        <v>941</v>
      </c>
      <c r="B10" s="2" t="s">
        <v>942</v>
      </c>
      <c r="C10" s="42">
        <v>5.2</v>
      </c>
      <c r="D10" s="42">
        <v>4.5999999999999996</v>
      </c>
      <c r="E10" s="5"/>
    </row>
    <row r="11" spans="1:5" ht="15" customHeight="1">
      <c r="A11" s="59" t="s">
        <v>943</v>
      </c>
      <c r="B11" s="2" t="s">
        <v>944</v>
      </c>
      <c r="C11" s="42">
        <v>4.7</v>
      </c>
      <c r="D11" s="42">
        <v>4.0999999999999996</v>
      </c>
      <c r="E11" s="5"/>
    </row>
    <row r="12" spans="1:5" ht="15" customHeight="1">
      <c r="A12" s="59" t="s">
        <v>945</v>
      </c>
      <c r="B12" s="2" t="s">
        <v>946</v>
      </c>
      <c r="C12" s="42">
        <v>4.4000000000000004</v>
      </c>
      <c r="D12" s="42">
        <v>3.9</v>
      </c>
      <c r="E12" s="5"/>
    </row>
    <row r="13" spans="1:5" ht="15" customHeight="1">
      <c r="A13" s="59" t="s">
        <v>947</v>
      </c>
      <c r="B13" s="2" t="s">
        <v>948</v>
      </c>
      <c r="C13" s="42">
        <v>4.7</v>
      </c>
      <c r="D13" s="42">
        <v>4.3</v>
      </c>
      <c r="E13" s="5"/>
    </row>
    <row r="14" spans="1:5" ht="15" customHeight="1">
      <c r="A14" s="59" t="s">
        <v>949</v>
      </c>
      <c r="B14" s="2" t="s">
        <v>950</v>
      </c>
      <c r="C14" s="42">
        <v>4.5999999999999996</v>
      </c>
      <c r="D14" s="42">
        <v>4.4000000000000004</v>
      </c>
      <c r="E14" s="5"/>
    </row>
    <row r="15" spans="1:5" ht="15" customHeight="1">
      <c r="A15" s="59" t="s">
        <v>951</v>
      </c>
      <c r="B15" s="2" t="s">
        <v>952</v>
      </c>
      <c r="C15" s="42">
        <v>6.3</v>
      </c>
      <c r="D15" s="42">
        <v>5.5</v>
      </c>
      <c r="E15" s="5"/>
    </row>
    <row r="16" spans="1:5" ht="15" customHeight="1">
      <c r="A16" s="59" t="s">
        <v>953</v>
      </c>
      <c r="B16" s="2" t="s">
        <v>954</v>
      </c>
      <c r="C16" s="42">
        <v>3.9</v>
      </c>
      <c r="D16" s="42">
        <v>3.6</v>
      </c>
      <c r="E16" s="5"/>
    </row>
    <row r="17" spans="1:5" ht="15" customHeight="1">
      <c r="A17" s="59" t="s">
        <v>955</v>
      </c>
      <c r="B17" s="2" t="s">
        <v>956</v>
      </c>
      <c r="C17" s="42">
        <v>5.4</v>
      </c>
      <c r="D17" s="42">
        <v>4.5999999999999996</v>
      </c>
      <c r="E17" s="5"/>
    </row>
    <row r="18" spans="1:5" ht="15" customHeight="1">
      <c r="A18" s="59" t="s">
        <v>957</v>
      </c>
      <c r="B18" s="2" t="s">
        <v>958</v>
      </c>
      <c r="C18" s="42">
        <v>5.0999999999999996</v>
      </c>
      <c r="D18" s="42">
        <v>4.5</v>
      </c>
      <c r="E18" s="5"/>
    </row>
    <row r="19" spans="1:5" ht="15" customHeight="1">
      <c r="A19" s="59" t="s">
        <v>959</v>
      </c>
      <c r="B19" s="2" t="s">
        <v>960</v>
      </c>
      <c r="C19" s="42">
        <v>8.8000000000000007</v>
      </c>
      <c r="D19" s="42">
        <v>7.7</v>
      </c>
      <c r="E19" s="5"/>
    </row>
    <row r="20" spans="1:5" ht="15" customHeight="1">
      <c r="A20" s="59" t="s">
        <v>961</v>
      </c>
      <c r="B20" s="2" t="s">
        <v>962</v>
      </c>
      <c r="C20" s="42">
        <v>5.7</v>
      </c>
      <c r="D20" s="42">
        <v>5.0999999999999996</v>
      </c>
      <c r="E20" s="5"/>
    </row>
    <row r="21" spans="1:5" ht="15" customHeight="1">
      <c r="A21" s="59" t="s">
        <v>963</v>
      </c>
      <c r="B21" s="2" t="s">
        <v>964</v>
      </c>
      <c r="C21" s="42">
        <v>5.6</v>
      </c>
      <c r="D21" s="42">
        <v>5</v>
      </c>
      <c r="E21" s="5"/>
    </row>
    <row r="22" spans="1:5" ht="15" customHeight="1">
      <c r="A22" s="59" t="s">
        <v>965</v>
      </c>
      <c r="B22" s="2" t="s">
        <v>966</v>
      </c>
      <c r="C22" s="42">
        <v>4.5</v>
      </c>
      <c r="D22" s="42">
        <v>3.4</v>
      </c>
      <c r="E22" s="5"/>
    </row>
    <row r="23" spans="1:5" ht="15" customHeight="1">
      <c r="A23" s="59" t="s">
        <v>967</v>
      </c>
      <c r="B23" s="2" t="s">
        <v>968</v>
      </c>
      <c r="C23" s="42">
        <v>6.6</v>
      </c>
      <c r="D23" s="42">
        <v>5.7</v>
      </c>
      <c r="E23" s="5"/>
    </row>
    <row r="24" spans="1:5" ht="15" customHeight="1">
      <c r="A24" s="59" t="s">
        <v>969</v>
      </c>
      <c r="B24" s="2" t="s">
        <v>970</v>
      </c>
      <c r="C24" s="42">
        <v>4.4000000000000004</v>
      </c>
      <c r="D24" s="42">
        <v>4.0999999999999996</v>
      </c>
      <c r="E24" s="5"/>
    </row>
    <row r="25" spans="1:5" ht="15" customHeight="1">
      <c r="A25" s="59" t="s">
        <v>971</v>
      </c>
      <c r="B25" s="2" t="s">
        <v>972</v>
      </c>
      <c r="C25" s="42">
        <v>6</v>
      </c>
      <c r="D25" s="42">
        <v>5.0999999999999996</v>
      </c>
      <c r="E25" s="5"/>
    </row>
    <row r="26" spans="1:5" ht="15" customHeight="1">
      <c r="A26" s="59" t="s">
        <v>973</v>
      </c>
      <c r="B26" s="2" t="s">
        <v>974</v>
      </c>
      <c r="C26" s="42">
        <v>4.3</v>
      </c>
      <c r="D26" s="42">
        <v>4.0999999999999996</v>
      </c>
      <c r="E26" s="5"/>
    </row>
    <row r="27" spans="1:5" ht="15" customHeight="1">
      <c r="A27" s="59" t="s">
        <v>975</v>
      </c>
      <c r="B27" s="2" t="s">
        <v>976</v>
      </c>
      <c r="C27" s="42">
        <v>3.7</v>
      </c>
      <c r="D27" s="42">
        <v>3</v>
      </c>
      <c r="E27" s="5"/>
    </row>
    <row r="28" spans="1:5" ht="15" customHeight="1">
      <c r="A28" s="59" t="s">
        <v>977</v>
      </c>
      <c r="B28" s="2" t="s">
        <v>978</v>
      </c>
      <c r="C28" s="42">
        <v>5.9</v>
      </c>
      <c r="D28" s="42">
        <v>5</v>
      </c>
      <c r="E28" s="5"/>
    </row>
    <row r="29" spans="1:5" ht="15" customHeight="1">
      <c r="A29" s="59" t="s">
        <v>979</v>
      </c>
      <c r="B29" s="2" t="s">
        <v>980</v>
      </c>
      <c r="C29" s="42">
        <v>3.9</v>
      </c>
      <c r="D29" s="42">
        <v>3.6</v>
      </c>
      <c r="E29" s="5"/>
    </row>
    <row r="30" spans="1:5" ht="15" customHeight="1">
      <c r="A30" s="59" t="s">
        <v>981</v>
      </c>
      <c r="B30" s="2" t="s">
        <v>982</v>
      </c>
      <c r="C30" s="42">
        <v>6.1</v>
      </c>
      <c r="D30" s="42">
        <v>5.4</v>
      </c>
      <c r="E30" s="5"/>
    </row>
    <row r="31" spans="1:5" ht="15" customHeight="1">
      <c r="A31" s="59" t="s">
        <v>983</v>
      </c>
      <c r="B31" s="2" t="s">
        <v>984</v>
      </c>
      <c r="C31" s="42">
        <v>3.8</v>
      </c>
      <c r="D31" s="42">
        <v>3.5</v>
      </c>
      <c r="E31" s="5"/>
    </row>
    <row r="32" spans="1:5" ht="15" customHeight="1">
      <c r="A32" s="59" t="s">
        <v>985</v>
      </c>
      <c r="B32" s="2" t="s">
        <v>986</v>
      </c>
      <c r="C32" s="42">
        <v>3.9</v>
      </c>
      <c r="D32" s="42">
        <v>3.6</v>
      </c>
      <c r="E32" s="5"/>
    </row>
    <row r="33" spans="1:5" ht="15" customHeight="1">
      <c r="A33" s="59" t="s">
        <v>987</v>
      </c>
      <c r="B33" s="2" t="s">
        <v>988</v>
      </c>
      <c r="C33" s="42">
        <v>4.8</v>
      </c>
      <c r="D33" s="42">
        <v>4.0999999999999996</v>
      </c>
      <c r="E33" s="5"/>
    </row>
    <row r="34" spans="1:5" ht="15" customHeight="1">
      <c r="A34" s="59" t="s">
        <v>989</v>
      </c>
      <c r="B34" s="2" t="s">
        <v>990</v>
      </c>
      <c r="C34" s="42">
        <v>4.5</v>
      </c>
      <c r="D34" s="42">
        <v>4.0999999999999996</v>
      </c>
      <c r="E34" s="5"/>
    </row>
    <row r="35" spans="1:5" ht="15" customHeight="1">
      <c r="A35" s="59" t="s">
        <v>991</v>
      </c>
      <c r="B35" s="2" t="s">
        <v>992</v>
      </c>
      <c r="C35" s="42">
        <v>4.4000000000000004</v>
      </c>
      <c r="D35" s="42">
        <v>4.5</v>
      </c>
      <c r="E35" s="5"/>
    </row>
    <row r="36" spans="1:5" ht="15" customHeight="1">
      <c r="A36" s="59" t="s">
        <v>993</v>
      </c>
      <c r="B36" s="2" t="s">
        <v>994</v>
      </c>
      <c r="C36" s="42">
        <v>4.8</v>
      </c>
      <c r="D36" s="42">
        <v>4.0999999999999996</v>
      </c>
      <c r="E36" s="5"/>
    </row>
    <row r="37" spans="1:5" ht="15" customHeight="1">
      <c r="A37" s="59" t="s">
        <v>252</v>
      </c>
      <c r="B37" s="2" t="s">
        <v>995</v>
      </c>
      <c r="C37" s="42">
        <v>5.7</v>
      </c>
      <c r="D37" s="42">
        <v>5.0999999999999996</v>
      </c>
      <c r="E37" s="5"/>
    </row>
    <row r="38" spans="1:5" ht="15" customHeight="1">
      <c r="A38" s="59" t="s">
        <v>996</v>
      </c>
      <c r="B38" s="2" t="s">
        <v>997</v>
      </c>
      <c r="C38" s="42">
        <v>3.4</v>
      </c>
      <c r="D38" s="42">
        <v>2.9</v>
      </c>
      <c r="E38" s="5"/>
    </row>
    <row r="39" spans="1:5" ht="15" customHeight="1">
      <c r="A39" s="59" t="s">
        <v>998</v>
      </c>
      <c r="B39" s="2" t="s">
        <v>999</v>
      </c>
      <c r="C39" s="42">
        <v>4.5</v>
      </c>
      <c r="D39" s="42">
        <v>4</v>
      </c>
      <c r="E39" s="5"/>
    </row>
    <row r="40" spans="1:5" ht="15" customHeight="1">
      <c r="A40" s="59" t="s">
        <v>1000</v>
      </c>
      <c r="B40" s="2" t="s">
        <v>1001</v>
      </c>
      <c r="C40" s="42">
        <v>4.8</v>
      </c>
      <c r="D40" s="42">
        <v>4.3</v>
      </c>
      <c r="E40" s="5"/>
    </row>
    <row r="41" spans="1:5" ht="15" customHeight="1">
      <c r="A41" s="59" t="s">
        <v>1002</v>
      </c>
      <c r="B41" s="2" t="s">
        <v>1003</v>
      </c>
      <c r="C41" s="42">
        <v>4.5999999999999996</v>
      </c>
      <c r="D41" s="42">
        <v>4.2</v>
      </c>
      <c r="E41" s="5"/>
    </row>
    <row r="42" spans="1:5" ht="15" customHeight="1">
      <c r="A42" s="59" t="s">
        <v>1004</v>
      </c>
      <c r="B42" s="2" t="s">
        <v>1005</v>
      </c>
      <c r="C42" s="42">
        <v>4.5999999999999996</v>
      </c>
      <c r="D42" s="42">
        <v>4.2</v>
      </c>
      <c r="E42" s="5"/>
    </row>
    <row r="43" spans="1:5" ht="15" customHeight="1">
      <c r="A43" s="59" t="s">
        <v>1006</v>
      </c>
      <c r="B43" s="2" t="s">
        <v>1007</v>
      </c>
      <c r="C43" s="42">
        <v>4.3</v>
      </c>
      <c r="D43" s="42">
        <v>4.0999999999999996</v>
      </c>
      <c r="E43" s="5"/>
    </row>
    <row r="44" spans="1:5" ht="15" customHeight="1">
      <c r="A44" s="59" t="s">
        <v>1008</v>
      </c>
      <c r="B44" s="2" t="s">
        <v>1009</v>
      </c>
      <c r="C44" s="42">
        <v>4.5999999999999996</v>
      </c>
      <c r="D44" s="42">
        <v>3.8</v>
      </c>
      <c r="E44" s="5"/>
    </row>
    <row r="45" spans="1:5" ht="15" customHeight="1">
      <c r="A45" s="59" t="s">
        <v>1010</v>
      </c>
      <c r="B45" s="2" t="s">
        <v>1011</v>
      </c>
      <c r="C45" s="42">
        <v>7</v>
      </c>
      <c r="D45" s="42">
        <v>6.4</v>
      </c>
      <c r="E45" s="5"/>
    </row>
    <row r="46" spans="1:5" ht="15" customHeight="1">
      <c r="A46" s="59" t="s">
        <v>1012</v>
      </c>
      <c r="B46" s="2" t="s">
        <v>1013</v>
      </c>
      <c r="C46" s="42">
        <v>3.9</v>
      </c>
      <c r="D46" s="42">
        <v>3.5</v>
      </c>
      <c r="E46" s="5"/>
    </row>
    <row r="47" spans="1:5" ht="15" customHeight="1">
      <c r="A47" s="59" t="s">
        <v>1014</v>
      </c>
      <c r="B47" s="2" t="s">
        <v>1015</v>
      </c>
      <c r="C47" s="42">
        <v>3.9</v>
      </c>
      <c r="D47" s="42">
        <v>3.9</v>
      </c>
      <c r="E47" s="5"/>
    </row>
    <row r="48" spans="1:5" ht="15" customHeight="1">
      <c r="A48" s="59" t="s">
        <v>1016</v>
      </c>
      <c r="B48" s="2" t="s">
        <v>1017</v>
      </c>
      <c r="C48" s="42">
        <v>5</v>
      </c>
      <c r="D48" s="42">
        <v>4.5999999999999996</v>
      </c>
      <c r="E48" s="5"/>
    </row>
    <row r="49" spans="1:5" ht="15" customHeight="1">
      <c r="A49" s="59" t="s">
        <v>1018</v>
      </c>
      <c r="B49" s="2" t="s">
        <v>1019</v>
      </c>
      <c r="C49" s="42">
        <v>4.4000000000000004</v>
      </c>
      <c r="D49" s="42">
        <v>4.2</v>
      </c>
      <c r="E49" s="5"/>
    </row>
    <row r="50" spans="1:5" ht="15" customHeight="1">
      <c r="A50" s="59" t="s">
        <v>1020</v>
      </c>
      <c r="B50" s="2" t="s">
        <v>1021</v>
      </c>
      <c r="C50" s="42">
        <v>7.4</v>
      </c>
      <c r="D50" s="42">
        <v>6.6</v>
      </c>
      <c r="E50" s="5"/>
    </row>
    <row r="51" spans="1:5" ht="15" customHeight="1">
      <c r="A51" s="59" t="s">
        <v>1022</v>
      </c>
      <c r="B51" s="2" t="s">
        <v>1023</v>
      </c>
      <c r="C51" s="42">
        <v>6.4</v>
      </c>
      <c r="D51" s="42">
        <v>5.7</v>
      </c>
      <c r="E51" s="5"/>
    </row>
    <row r="52" spans="1:5" ht="15" customHeight="1">
      <c r="A52" s="59" t="s">
        <v>1024</v>
      </c>
      <c r="B52" s="2" t="s">
        <v>1025</v>
      </c>
      <c r="C52" s="42">
        <v>5.2</v>
      </c>
      <c r="D52" s="42">
        <v>4.5999999999999996</v>
      </c>
      <c r="E52" s="5"/>
    </row>
    <row r="53" spans="1:5" ht="15" customHeight="1">
      <c r="A53" s="59" t="s">
        <v>1026</v>
      </c>
      <c r="B53" s="2" t="s">
        <v>1027</v>
      </c>
      <c r="C53" s="42">
        <v>5.8</v>
      </c>
      <c r="D53" s="42">
        <v>5.4</v>
      </c>
      <c r="E53" s="5"/>
    </row>
    <row r="54" spans="1:5" ht="15" customHeight="1">
      <c r="A54" s="59" t="s">
        <v>1028</v>
      </c>
      <c r="B54" s="2" t="s">
        <v>1029</v>
      </c>
      <c r="C54" s="42">
        <v>3.9</v>
      </c>
      <c r="D54" s="42">
        <v>3.6</v>
      </c>
      <c r="E54" s="5"/>
    </row>
    <row r="55" spans="1:5" ht="15" customHeight="1">
      <c r="A55" s="59" t="s">
        <v>1030</v>
      </c>
      <c r="B55" s="2" t="s">
        <v>1031</v>
      </c>
      <c r="C55" s="42">
        <v>4</v>
      </c>
      <c r="D55" s="42">
        <v>3.6</v>
      </c>
      <c r="E55" s="5"/>
    </row>
    <row r="56" spans="1:5" ht="15" customHeight="1">
      <c r="A56" s="59" t="s">
        <v>1032</v>
      </c>
      <c r="B56" s="2" t="s">
        <v>1033</v>
      </c>
      <c r="C56" s="42">
        <v>4.8</v>
      </c>
      <c r="D56" s="42">
        <v>4.2</v>
      </c>
      <c r="E56" s="5"/>
    </row>
    <row r="57" spans="1:5" ht="15" customHeight="1">
      <c r="A57" s="59" t="s">
        <v>1034</v>
      </c>
      <c r="B57" s="2" t="s">
        <v>1035</v>
      </c>
      <c r="C57" s="42">
        <v>5.6</v>
      </c>
      <c r="D57" s="42">
        <v>5.5</v>
      </c>
      <c r="E57" s="5"/>
    </row>
    <row r="58" spans="1:5" ht="15" customHeight="1">
      <c r="A58" s="59" t="s">
        <v>1036</v>
      </c>
      <c r="B58" s="2" t="s">
        <v>1037</v>
      </c>
      <c r="C58" s="42">
        <v>4.8</v>
      </c>
      <c r="D58" s="42">
        <v>4</v>
      </c>
      <c r="E58" s="5"/>
    </row>
    <row r="59" spans="1:5" ht="15" customHeight="1">
      <c r="A59" s="59" t="s">
        <v>1038</v>
      </c>
      <c r="B59" s="2" t="s">
        <v>1039</v>
      </c>
      <c r="C59" s="42">
        <v>5.4</v>
      </c>
      <c r="D59" s="42">
        <v>4.8</v>
      </c>
      <c r="E59" s="5"/>
    </row>
    <row r="60" spans="1:5" ht="15" customHeight="1">
      <c r="A60" s="59" t="s">
        <v>1040</v>
      </c>
      <c r="B60" s="2" t="s">
        <v>1041</v>
      </c>
      <c r="C60" s="42">
        <v>4.7</v>
      </c>
      <c r="D60" s="42">
        <v>4.3</v>
      </c>
      <c r="E60" s="5"/>
    </row>
    <row r="61" spans="1:5" ht="15" customHeight="1">
      <c r="A61" s="59" t="s">
        <v>1042</v>
      </c>
      <c r="B61" s="2" t="s">
        <v>1043</v>
      </c>
      <c r="C61" s="42">
        <v>3.9</v>
      </c>
      <c r="D61" s="42">
        <v>3.6</v>
      </c>
      <c r="E61" s="5"/>
    </row>
    <row r="62" spans="1:5" ht="15" customHeight="1">
      <c r="A62" s="59" t="s">
        <v>1044</v>
      </c>
      <c r="B62" s="2" t="s">
        <v>1045</v>
      </c>
      <c r="C62" s="42">
        <v>5.4</v>
      </c>
      <c r="D62" s="42">
        <v>4.4000000000000004</v>
      </c>
      <c r="E62" s="5"/>
    </row>
    <row r="63" spans="1:5" ht="15" customHeight="1">
      <c r="A63" s="59" t="s">
        <v>1046</v>
      </c>
      <c r="B63" s="2" t="s">
        <v>1047</v>
      </c>
      <c r="C63" s="42">
        <v>3.8</v>
      </c>
      <c r="D63" s="42">
        <v>3.5</v>
      </c>
      <c r="E63" s="5"/>
    </row>
    <row r="64" spans="1:5" ht="15" customHeight="1">
      <c r="A64" s="59" t="s">
        <v>1048</v>
      </c>
      <c r="B64" s="2" t="s">
        <v>1049</v>
      </c>
      <c r="C64" s="42">
        <v>4.5999999999999996</v>
      </c>
      <c r="D64" s="42">
        <v>4.2</v>
      </c>
      <c r="E64" s="5"/>
    </row>
    <row r="65" spans="1:5" ht="15" customHeight="1">
      <c r="A65" s="59" t="s">
        <v>1050</v>
      </c>
      <c r="B65" s="2" t="s">
        <v>1051</v>
      </c>
      <c r="C65" s="42">
        <v>4</v>
      </c>
      <c r="D65" s="42">
        <v>3.6</v>
      </c>
      <c r="E65" s="5"/>
    </row>
    <row r="66" spans="1:5" ht="15" customHeight="1">
      <c r="A66" s="59" t="s">
        <v>1052</v>
      </c>
      <c r="B66" s="2" t="s">
        <v>1053</v>
      </c>
      <c r="C66" s="42">
        <v>4.0999999999999996</v>
      </c>
      <c r="D66" s="42">
        <v>3.8</v>
      </c>
      <c r="E66" s="5"/>
    </row>
    <row r="67" spans="1:5" ht="15" customHeight="1">
      <c r="A67" s="59" t="s">
        <v>1054</v>
      </c>
      <c r="B67" s="2" t="s">
        <v>1055</v>
      </c>
      <c r="C67" s="42">
        <v>7</v>
      </c>
      <c r="D67" s="42">
        <v>6.2</v>
      </c>
      <c r="E67" s="5"/>
    </row>
    <row r="68" spans="1:5" ht="15" customHeight="1">
      <c r="A68" s="59" t="s">
        <v>1056</v>
      </c>
      <c r="B68" s="2" t="s">
        <v>1057</v>
      </c>
      <c r="C68" s="42">
        <v>5.3</v>
      </c>
      <c r="D68" s="42">
        <v>4.5</v>
      </c>
      <c r="E68" s="5"/>
    </row>
    <row r="69" spans="1:5" ht="15" customHeight="1">
      <c r="A69" s="59" t="s">
        <v>1058</v>
      </c>
      <c r="B69" s="2" t="s">
        <v>1059</v>
      </c>
      <c r="C69" s="42">
        <v>3.9</v>
      </c>
      <c r="D69" s="42">
        <v>3.4</v>
      </c>
      <c r="E69" s="5"/>
    </row>
    <row r="70" spans="1:5" ht="15" customHeight="1">
      <c r="A70" s="59" t="s">
        <v>1060</v>
      </c>
      <c r="B70" s="2" t="s">
        <v>1061</v>
      </c>
      <c r="C70" s="42">
        <v>4.0999999999999996</v>
      </c>
      <c r="D70" s="42">
        <v>3.5</v>
      </c>
      <c r="E70" s="5"/>
    </row>
    <row r="71" spans="1:5" ht="15" customHeight="1">
      <c r="A71" s="59" t="s">
        <v>1062</v>
      </c>
      <c r="B71" s="2" t="s">
        <v>1063</v>
      </c>
      <c r="C71" s="42">
        <v>5.0999999999999996</v>
      </c>
      <c r="D71" s="42">
        <v>4.5999999999999996</v>
      </c>
      <c r="E71" s="5"/>
    </row>
    <row r="72" spans="1:5" ht="15" customHeight="1">
      <c r="A72" s="59" t="s">
        <v>1064</v>
      </c>
      <c r="B72" s="2" t="s">
        <v>1065</v>
      </c>
      <c r="C72" s="42">
        <v>5.3</v>
      </c>
      <c r="D72" s="42">
        <v>5</v>
      </c>
      <c r="E72" s="5"/>
    </row>
    <row r="73" spans="1:5" ht="15" customHeight="1">
      <c r="A73" s="59" t="s">
        <v>1066</v>
      </c>
      <c r="B73" s="2" t="s">
        <v>1067</v>
      </c>
      <c r="C73" s="42">
        <v>4.5999999999999996</v>
      </c>
      <c r="D73" s="42">
        <v>4.3</v>
      </c>
      <c r="E73" s="5"/>
    </row>
    <row r="74" spans="1:5" ht="15" customHeight="1">
      <c r="A74" s="59" t="s">
        <v>1068</v>
      </c>
      <c r="B74" s="2" t="s">
        <v>1069</v>
      </c>
      <c r="C74" s="42">
        <v>10.6</v>
      </c>
      <c r="D74" s="42">
        <v>9.4</v>
      </c>
      <c r="E74" s="5"/>
    </row>
    <row r="75" spans="1:5" ht="15" customHeight="1">
      <c r="A75" s="59" t="s">
        <v>1070</v>
      </c>
      <c r="B75" s="2" t="s">
        <v>1071</v>
      </c>
      <c r="C75" s="42">
        <v>5.9</v>
      </c>
      <c r="D75" s="42">
        <v>5.3</v>
      </c>
      <c r="E75" s="5"/>
    </row>
    <row r="76" spans="1:5" ht="15" customHeight="1">
      <c r="A76" s="59" t="s">
        <v>1072</v>
      </c>
      <c r="B76" s="2" t="s">
        <v>1073</v>
      </c>
      <c r="C76" s="42">
        <v>5.7</v>
      </c>
      <c r="D76" s="42">
        <v>5.0999999999999996</v>
      </c>
      <c r="E76" s="5"/>
    </row>
    <row r="77" spans="1:5" ht="15" customHeight="1">
      <c r="A77" s="59" t="s">
        <v>1074</v>
      </c>
      <c r="B77" s="2" t="s">
        <v>1075</v>
      </c>
      <c r="C77" s="42">
        <v>4.7</v>
      </c>
      <c r="D77" s="42">
        <v>4</v>
      </c>
      <c r="E77" s="5"/>
    </row>
    <row r="78" spans="1:5" ht="15" customHeight="1">
      <c r="A78" s="59" t="s">
        <v>1076</v>
      </c>
      <c r="B78" s="2" t="s">
        <v>1077</v>
      </c>
      <c r="C78" s="42">
        <v>4.3</v>
      </c>
      <c r="D78" s="42">
        <v>4.0999999999999996</v>
      </c>
      <c r="E78" s="5"/>
    </row>
    <row r="79" spans="1:5" ht="15" customHeight="1">
      <c r="A79" s="59" t="s">
        <v>1078</v>
      </c>
      <c r="B79" s="2" t="s">
        <v>1079</v>
      </c>
      <c r="C79" s="42">
        <v>4</v>
      </c>
      <c r="D79" s="42">
        <v>3.5</v>
      </c>
      <c r="E79" s="5"/>
    </row>
    <row r="80" spans="1:5" ht="15" customHeight="1">
      <c r="A80" s="59" t="s">
        <v>1080</v>
      </c>
      <c r="B80" s="2" t="s">
        <v>1081</v>
      </c>
      <c r="C80" s="42">
        <v>4.2</v>
      </c>
      <c r="D80" s="42">
        <v>3.9</v>
      </c>
      <c r="E80" s="5"/>
    </row>
    <row r="81" spans="1:5" ht="15" customHeight="1">
      <c r="A81" s="59" t="s">
        <v>1082</v>
      </c>
      <c r="B81" s="2" t="s">
        <v>1083</v>
      </c>
      <c r="C81" s="42">
        <v>7</v>
      </c>
      <c r="D81" s="42">
        <v>6</v>
      </c>
      <c r="E81" s="5"/>
    </row>
    <row r="82" spans="1:5" ht="15" customHeight="1">
      <c r="A82" s="59" t="s">
        <v>1084</v>
      </c>
      <c r="B82" s="2" t="s">
        <v>1085</v>
      </c>
      <c r="C82" s="42">
        <v>3.9</v>
      </c>
      <c r="D82" s="42">
        <v>3.4</v>
      </c>
      <c r="E82" s="5"/>
    </row>
    <row r="83" spans="1:5" ht="15" customHeight="1">
      <c r="A83" s="59" t="s">
        <v>1086</v>
      </c>
      <c r="B83" s="2" t="s">
        <v>1087</v>
      </c>
      <c r="C83" s="42">
        <v>4.9000000000000004</v>
      </c>
      <c r="D83" s="42">
        <v>4.5</v>
      </c>
      <c r="E83" s="5"/>
    </row>
    <row r="84" spans="1:5" ht="15" customHeight="1">
      <c r="A84" s="59" t="s">
        <v>1088</v>
      </c>
      <c r="B84" s="2" t="s">
        <v>1089</v>
      </c>
      <c r="C84" s="42">
        <v>5</v>
      </c>
      <c r="D84" s="42">
        <v>4.2</v>
      </c>
      <c r="E84" s="5"/>
    </row>
    <row r="85" spans="1:5" ht="15" customHeight="1">
      <c r="A85" s="59" t="s">
        <v>1090</v>
      </c>
      <c r="B85" s="2" t="s">
        <v>1091</v>
      </c>
      <c r="C85" s="42">
        <v>6.1</v>
      </c>
      <c r="D85" s="42">
        <v>5.5</v>
      </c>
      <c r="E85" s="5"/>
    </row>
    <row r="86" spans="1:5" ht="15" customHeight="1">
      <c r="A86" s="59" t="s">
        <v>1092</v>
      </c>
      <c r="B86" s="2" t="s">
        <v>1093</v>
      </c>
      <c r="C86" s="42">
        <v>5.0999999999999996</v>
      </c>
      <c r="D86" s="42">
        <v>4.5999999999999996</v>
      </c>
      <c r="E86" s="5"/>
    </row>
    <row r="87" spans="1:5" ht="15" customHeight="1">
      <c r="A87" s="59" t="s">
        <v>1094</v>
      </c>
      <c r="B87" s="2" t="s">
        <v>1095</v>
      </c>
      <c r="C87" s="42">
        <v>4.2</v>
      </c>
      <c r="D87" s="42">
        <v>4</v>
      </c>
      <c r="E87" s="5"/>
    </row>
    <row r="88" spans="1:5" ht="15" customHeight="1">
      <c r="A88" s="59" t="s">
        <v>1096</v>
      </c>
      <c r="B88" s="2" t="s">
        <v>1097</v>
      </c>
      <c r="C88" s="42">
        <v>4.0999999999999996</v>
      </c>
      <c r="D88" s="42">
        <v>3.7</v>
      </c>
      <c r="E88" s="5"/>
    </row>
    <row r="89" spans="1:5" ht="15" customHeight="1">
      <c r="A89" s="59" t="s">
        <v>1098</v>
      </c>
      <c r="B89" s="2" t="s">
        <v>1099</v>
      </c>
      <c r="C89" s="42">
        <v>4.0999999999999996</v>
      </c>
      <c r="D89" s="42">
        <v>3.4</v>
      </c>
      <c r="E89" s="5"/>
    </row>
    <row r="90" spans="1:5" ht="15" customHeight="1">
      <c r="A90" s="59" t="s">
        <v>1100</v>
      </c>
      <c r="B90" s="2" t="s">
        <v>1101</v>
      </c>
      <c r="C90" s="42">
        <v>4.0999999999999996</v>
      </c>
      <c r="D90" s="42">
        <v>3.7</v>
      </c>
      <c r="E90" s="5"/>
    </row>
    <row r="91" spans="1:5" ht="15" customHeight="1">
      <c r="A91" s="59" t="s">
        <v>1102</v>
      </c>
      <c r="B91" s="2" t="s">
        <v>1103</v>
      </c>
      <c r="C91" s="42">
        <v>5.6</v>
      </c>
      <c r="D91" s="42">
        <v>5</v>
      </c>
      <c r="E91" s="5"/>
    </row>
    <row r="92" spans="1:5" ht="15" customHeight="1">
      <c r="A92" s="59" t="s">
        <v>1104</v>
      </c>
      <c r="B92" s="2" t="s">
        <v>1105</v>
      </c>
      <c r="C92" s="42">
        <v>5.2</v>
      </c>
      <c r="D92" s="42">
        <v>4.8</v>
      </c>
      <c r="E92" s="5"/>
    </row>
    <row r="93" spans="1:5" ht="15" customHeight="1">
      <c r="A93" s="59" t="s">
        <v>1106</v>
      </c>
      <c r="B93" s="2" t="s">
        <v>1107</v>
      </c>
      <c r="C93" s="42">
        <v>4.5</v>
      </c>
      <c r="D93" s="42">
        <v>3.8</v>
      </c>
      <c r="E93" s="5"/>
    </row>
    <row r="94" spans="1:5" ht="15" customHeight="1">
      <c r="A94" s="59" t="s">
        <v>1108</v>
      </c>
      <c r="B94" s="2" t="s">
        <v>1109</v>
      </c>
      <c r="C94" s="42">
        <v>7.2</v>
      </c>
      <c r="D94" s="42">
        <v>6.2</v>
      </c>
      <c r="E94" s="5"/>
    </row>
    <row r="95" spans="1:5" ht="15" customHeight="1">
      <c r="A95" s="59" t="s">
        <v>1110</v>
      </c>
      <c r="B95" s="2" t="s">
        <v>1111</v>
      </c>
      <c r="C95" s="42">
        <v>4.4000000000000004</v>
      </c>
      <c r="D95" s="42">
        <v>3.9</v>
      </c>
      <c r="E95" s="5"/>
    </row>
    <row r="96" spans="1:5" ht="15" customHeight="1">
      <c r="A96" s="59" t="s">
        <v>1112</v>
      </c>
      <c r="B96" s="2" t="s">
        <v>1113</v>
      </c>
      <c r="C96" s="42">
        <v>4.5</v>
      </c>
      <c r="D96" s="42">
        <v>4.4000000000000004</v>
      </c>
      <c r="E96" s="5"/>
    </row>
    <row r="97" spans="1:5" ht="15" customHeight="1">
      <c r="A97" s="59" t="s">
        <v>1114</v>
      </c>
      <c r="B97" s="2" t="s">
        <v>1115</v>
      </c>
      <c r="C97" s="42">
        <v>4.9000000000000004</v>
      </c>
      <c r="D97" s="42">
        <v>4.4000000000000004</v>
      </c>
      <c r="E97" s="5"/>
    </row>
    <row r="98" spans="1:5" ht="15" customHeight="1">
      <c r="A98" s="59" t="s">
        <v>1116</v>
      </c>
      <c r="B98" s="2" t="s">
        <v>1117</v>
      </c>
      <c r="C98" s="42">
        <v>5.7</v>
      </c>
      <c r="D98" s="42">
        <v>5.0999999999999996</v>
      </c>
      <c r="E98" s="5"/>
    </row>
    <row r="99" spans="1:5" ht="15" customHeight="1">
      <c r="A99" s="59" t="s">
        <v>1118</v>
      </c>
      <c r="B99" s="2" t="s">
        <v>1119</v>
      </c>
      <c r="C99" s="42">
        <v>5</v>
      </c>
      <c r="D99" s="42">
        <v>4.5</v>
      </c>
      <c r="E99" s="5"/>
    </row>
    <row r="100" spans="1:5" ht="15" customHeight="1">
      <c r="A100" s="59" t="s">
        <v>1120</v>
      </c>
      <c r="B100" s="2" t="s">
        <v>1121</v>
      </c>
      <c r="C100" s="42">
        <v>5.0999999999999996</v>
      </c>
      <c r="D100" s="42">
        <v>4.5</v>
      </c>
      <c r="E100" s="5"/>
    </row>
    <row r="101" spans="1:5" ht="15" customHeight="1">
      <c r="A101" s="59" t="s">
        <v>1122</v>
      </c>
      <c r="B101" s="2" t="s">
        <v>1123</v>
      </c>
      <c r="C101" s="42">
        <v>6.3</v>
      </c>
      <c r="D101" s="42">
        <v>5.0999999999999996</v>
      </c>
      <c r="E101" s="5"/>
    </row>
    <row r="102" spans="1:5" ht="15" customHeight="1">
      <c r="A102" s="59" t="s">
        <v>1124</v>
      </c>
      <c r="B102" s="2" t="s">
        <v>1125</v>
      </c>
      <c r="C102" s="42">
        <v>4.5</v>
      </c>
      <c r="D102" s="42">
        <v>3.9</v>
      </c>
      <c r="E102" s="5"/>
    </row>
    <row r="103" spans="1:5" ht="15" customHeight="1">
      <c r="A103" s="59" t="s">
        <v>1126</v>
      </c>
      <c r="B103" s="2" t="s">
        <v>1127</v>
      </c>
      <c r="C103" s="42">
        <v>6.6</v>
      </c>
      <c r="D103" s="42">
        <v>5.8</v>
      </c>
      <c r="E103" s="5"/>
    </row>
    <row r="104" spans="1:5" ht="15" customHeight="1">
      <c r="A104" s="59" t="s">
        <v>1128</v>
      </c>
      <c r="B104" s="2" t="s">
        <v>1129</v>
      </c>
      <c r="C104" s="42">
        <v>8.1999999999999993</v>
      </c>
      <c r="D104" s="42">
        <v>7.2</v>
      </c>
      <c r="E104" s="5"/>
    </row>
    <row r="105" spans="1:5" ht="15" customHeight="1">
      <c r="A105" s="59" t="s">
        <v>1130</v>
      </c>
      <c r="B105" s="2" t="s">
        <v>1131</v>
      </c>
      <c r="C105" s="42">
        <v>4.3</v>
      </c>
      <c r="D105" s="42">
        <v>3.8</v>
      </c>
      <c r="E105" s="5"/>
    </row>
    <row r="106" spans="1:5" ht="15" customHeight="1">
      <c r="A106" s="59" t="s">
        <v>1132</v>
      </c>
      <c r="B106" s="2" t="s">
        <v>1133</v>
      </c>
      <c r="C106" s="42">
        <v>4.7</v>
      </c>
      <c r="D106" s="42">
        <v>4.3</v>
      </c>
      <c r="E106" s="5"/>
    </row>
    <row r="107" spans="1:5" ht="15" customHeight="1">
      <c r="A107" s="59" t="s">
        <v>1134</v>
      </c>
      <c r="B107" s="2" t="s">
        <v>1135</v>
      </c>
      <c r="C107" s="42">
        <v>4.7</v>
      </c>
      <c r="D107" s="42">
        <v>4.3</v>
      </c>
      <c r="E107" s="5"/>
    </row>
    <row r="108" spans="1:5" ht="15" customHeight="1">
      <c r="A108" s="59" t="s">
        <v>1136</v>
      </c>
      <c r="B108" s="2" t="s">
        <v>1137</v>
      </c>
      <c r="C108" s="42">
        <v>7.6</v>
      </c>
      <c r="D108" s="42">
        <v>6.6</v>
      </c>
      <c r="E108" s="5"/>
    </row>
    <row r="109" spans="1:5" ht="15" customHeight="1">
      <c r="A109" s="59" t="s">
        <v>1138</v>
      </c>
      <c r="B109" s="2" t="s">
        <v>1139</v>
      </c>
      <c r="C109" s="42">
        <v>6.2</v>
      </c>
      <c r="D109" s="42">
        <v>5.5</v>
      </c>
      <c r="E109" s="5"/>
    </row>
    <row r="110" spans="1:5" ht="15" customHeight="1">
      <c r="A110" s="59" t="s">
        <v>1140</v>
      </c>
      <c r="B110" s="2" t="s">
        <v>1141</v>
      </c>
      <c r="C110" s="42">
        <v>5.8</v>
      </c>
      <c r="D110" s="42">
        <v>5.0999999999999996</v>
      </c>
      <c r="E110" s="5"/>
    </row>
    <row r="111" spans="1:5" ht="15" customHeight="1">
      <c r="A111" s="59" t="s">
        <v>1142</v>
      </c>
      <c r="B111" s="2" t="s">
        <v>1143</v>
      </c>
      <c r="C111" s="42">
        <v>8.4</v>
      </c>
      <c r="D111" s="42">
        <v>7.2</v>
      </c>
      <c r="E111" s="5"/>
    </row>
    <row r="112" spans="1:5" ht="15" customHeight="1">
      <c r="A112" s="59" t="s">
        <v>1144</v>
      </c>
      <c r="B112" s="2" t="s">
        <v>1145</v>
      </c>
      <c r="C112" s="42">
        <v>5.9</v>
      </c>
      <c r="D112" s="42">
        <v>5</v>
      </c>
      <c r="E112" s="5"/>
    </row>
    <row r="113" spans="1:5" ht="15" customHeight="1">
      <c r="A113" s="59" t="s">
        <v>1146</v>
      </c>
      <c r="B113" s="2" t="s">
        <v>1147</v>
      </c>
      <c r="C113" s="42">
        <v>4.8</v>
      </c>
      <c r="D113" s="42">
        <v>4.3</v>
      </c>
      <c r="E113" s="5"/>
    </row>
    <row r="114" spans="1:5" ht="15" customHeight="1">
      <c r="A114" s="59" t="s">
        <v>1148</v>
      </c>
      <c r="B114" s="2" t="s">
        <v>1149</v>
      </c>
      <c r="C114" s="42">
        <v>4.8</v>
      </c>
      <c r="D114" s="42">
        <v>4.4000000000000004</v>
      </c>
      <c r="E114" s="5"/>
    </row>
    <row r="115" spans="1:5" ht="15" customHeight="1">
      <c r="A115" s="59" t="s">
        <v>1150</v>
      </c>
      <c r="B115" s="2" t="s">
        <v>1151</v>
      </c>
      <c r="C115" s="42">
        <v>4.4000000000000004</v>
      </c>
      <c r="D115" s="42">
        <v>4.3</v>
      </c>
      <c r="E115" s="5"/>
    </row>
    <row r="116" spans="1:5" ht="15" customHeight="1">
      <c r="A116" s="59" t="s">
        <v>1152</v>
      </c>
      <c r="B116" s="2" t="s">
        <v>1153</v>
      </c>
      <c r="C116" s="42">
        <v>4.9000000000000004</v>
      </c>
      <c r="D116" s="42">
        <v>4.4000000000000004</v>
      </c>
      <c r="E116" s="5"/>
    </row>
    <row r="117" spans="1:5" ht="15" customHeight="1">
      <c r="A117" s="59" t="s">
        <v>1154</v>
      </c>
      <c r="B117" s="2" t="s">
        <v>1155</v>
      </c>
      <c r="C117" s="42">
        <v>4.7</v>
      </c>
      <c r="D117" s="42">
        <v>4.2</v>
      </c>
      <c r="E117" s="5"/>
    </row>
    <row r="118" spans="1:5" ht="15" customHeight="1">
      <c r="A118" s="59" t="s">
        <v>1156</v>
      </c>
      <c r="B118" s="2" t="s">
        <v>1157</v>
      </c>
      <c r="C118" s="42">
        <v>4.5999999999999996</v>
      </c>
      <c r="D118" s="42">
        <v>4.7</v>
      </c>
      <c r="E118" s="5"/>
    </row>
    <row r="119" spans="1:5" ht="15" customHeight="1">
      <c r="A119" s="59" t="s">
        <v>1158</v>
      </c>
      <c r="B119" s="2" t="s">
        <v>1159</v>
      </c>
      <c r="C119" s="42">
        <v>4.8</v>
      </c>
      <c r="D119" s="42">
        <v>4.3</v>
      </c>
      <c r="E119" s="5"/>
    </row>
    <row r="120" spans="1:5" ht="15" customHeight="1">
      <c r="A120" s="59" t="s">
        <v>1160</v>
      </c>
      <c r="B120" s="2" t="s">
        <v>1161</v>
      </c>
      <c r="C120" s="42">
        <v>4.8</v>
      </c>
      <c r="D120" s="42">
        <v>4</v>
      </c>
      <c r="E120" s="5"/>
    </row>
    <row r="121" spans="1:5" ht="15" customHeight="1">
      <c r="A121" s="59" t="s">
        <v>1162</v>
      </c>
      <c r="B121" s="2" t="s">
        <v>1163</v>
      </c>
      <c r="C121" s="42">
        <v>4.9000000000000004</v>
      </c>
      <c r="D121" s="42">
        <v>4.4000000000000004</v>
      </c>
      <c r="E121" s="5"/>
    </row>
    <row r="122" spans="1:5" ht="15" customHeight="1">
      <c r="A122" s="59" t="s">
        <v>1164</v>
      </c>
      <c r="B122" s="2" t="s">
        <v>1165</v>
      </c>
      <c r="C122" s="42">
        <v>7.3</v>
      </c>
      <c r="D122" s="42">
        <v>6.1</v>
      </c>
      <c r="E122" s="5"/>
    </row>
    <row r="123" spans="1:5" ht="15" customHeight="1">
      <c r="A123" s="59" t="s">
        <v>1166</v>
      </c>
      <c r="B123" s="2" t="s">
        <v>1167</v>
      </c>
      <c r="C123" s="42">
        <v>6.1</v>
      </c>
      <c r="D123" s="42">
        <v>5.2</v>
      </c>
      <c r="E123" s="5"/>
    </row>
    <row r="124" spans="1:5" ht="15" customHeight="1">
      <c r="A124" s="59" t="s">
        <v>1168</v>
      </c>
      <c r="B124" s="2" t="s">
        <v>1169</v>
      </c>
      <c r="C124" s="42">
        <v>6</v>
      </c>
      <c r="D124" s="42">
        <v>5.0999999999999996</v>
      </c>
      <c r="E124" s="5"/>
    </row>
    <row r="125" spans="1:5" ht="15" customHeight="1">
      <c r="A125" s="59" t="s">
        <v>1170</v>
      </c>
      <c r="B125" s="2" t="s">
        <v>1171</v>
      </c>
      <c r="C125" s="42">
        <v>4.5</v>
      </c>
      <c r="D125" s="42">
        <v>3.7</v>
      </c>
      <c r="E125" s="5"/>
    </row>
    <row r="126" spans="1:5" ht="15" customHeight="1">
      <c r="A126" s="59" t="s">
        <v>1172</v>
      </c>
      <c r="B126" s="2" t="s">
        <v>1173</v>
      </c>
      <c r="C126" s="42">
        <v>4.7</v>
      </c>
      <c r="D126" s="42">
        <v>4.3</v>
      </c>
      <c r="E126" s="5"/>
    </row>
    <row r="127" spans="1:5" ht="15" customHeight="1">
      <c r="A127" s="59" t="s">
        <v>1174</v>
      </c>
      <c r="B127" s="2" t="s">
        <v>1175</v>
      </c>
      <c r="C127" s="42">
        <v>4.2</v>
      </c>
      <c r="D127" s="42">
        <v>3.9</v>
      </c>
      <c r="E127" s="5"/>
    </row>
    <row r="128" spans="1:5" ht="15" customHeight="1">
      <c r="A128" s="59" t="s">
        <v>1176</v>
      </c>
      <c r="B128" s="2" t="s">
        <v>1177</v>
      </c>
      <c r="C128" s="42">
        <v>4.8</v>
      </c>
      <c r="D128" s="42">
        <v>4.2</v>
      </c>
      <c r="E128" s="5"/>
    </row>
    <row r="129" spans="1:5" ht="15" customHeight="1">
      <c r="A129" s="59" t="s">
        <v>1178</v>
      </c>
      <c r="B129" s="2" t="s">
        <v>1179</v>
      </c>
      <c r="C129" s="42">
        <v>7.2</v>
      </c>
      <c r="D129" s="42">
        <v>6</v>
      </c>
      <c r="E129" s="5"/>
    </row>
    <row r="130" spans="1:5" ht="15" customHeight="1">
      <c r="A130" s="59" t="s">
        <v>1180</v>
      </c>
      <c r="B130" s="2" t="s">
        <v>1181</v>
      </c>
      <c r="C130" s="42">
        <v>5.3</v>
      </c>
      <c r="D130" s="42">
        <v>4.8</v>
      </c>
      <c r="E130" s="5"/>
    </row>
    <row r="131" spans="1:5" ht="15" customHeight="1">
      <c r="A131" s="59" t="s">
        <v>1182</v>
      </c>
      <c r="B131" s="2" t="s">
        <v>1183</v>
      </c>
      <c r="C131" s="42">
        <v>6.9</v>
      </c>
      <c r="D131" s="42">
        <v>6</v>
      </c>
      <c r="E131" s="5"/>
    </row>
    <row r="132" spans="1:5" ht="15" customHeight="1">
      <c r="A132" s="59" t="s">
        <v>1184</v>
      </c>
      <c r="B132" s="2" t="s">
        <v>1185</v>
      </c>
      <c r="C132" s="42">
        <v>4.2</v>
      </c>
      <c r="D132" s="42">
        <v>3.4</v>
      </c>
      <c r="E132" s="5"/>
    </row>
    <row r="133" spans="1:5" ht="15" customHeight="1">
      <c r="A133" s="59" t="s">
        <v>1186</v>
      </c>
      <c r="B133" s="2" t="s">
        <v>1187</v>
      </c>
      <c r="C133" s="42">
        <v>4.8</v>
      </c>
      <c r="D133" s="42">
        <v>4.5999999999999996</v>
      </c>
      <c r="E133" s="5"/>
    </row>
    <row r="134" spans="1:5" ht="15" customHeight="1">
      <c r="A134" s="59" t="s">
        <v>1188</v>
      </c>
      <c r="B134" s="2" t="s">
        <v>1189</v>
      </c>
      <c r="C134" s="42">
        <v>5.6</v>
      </c>
      <c r="D134" s="42">
        <v>4.9000000000000004</v>
      </c>
      <c r="E134" s="5"/>
    </row>
    <row r="135" spans="1:5" ht="15" customHeight="1">
      <c r="A135" s="59" t="s">
        <v>1190</v>
      </c>
      <c r="B135" s="2" t="s">
        <v>1191</v>
      </c>
      <c r="C135" s="42">
        <v>4.8</v>
      </c>
      <c r="D135" s="42">
        <v>4</v>
      </c>
      <c r="E135" s="5"/>
    </row>
    <row r="136" spans="1:5" ht="15" customHeight="1">
      <c r="A136" s="59" t="s">
        <v>1192</v>
      </c>
      <c r="B136" s="2" t="s">
        <v>1193</v>
      </c>
      <c r="C136" s="42">
        <v>6.9</v>
      </c>
      <c r="D136" s="42">
        <v>5.8</v>
      </c>
      <c r="E136" s="5"/>
    </row>
    <row r="137" spans="1:5" ht="15" customHeight="1">
      <c r="A137" s="59" t="s">
        <v>1194</v>
      </c>
      <c r="B137" s="2" t="s">
        <v>1195</v>
      </c>
      <c r="C137" s="42">
        <v>4.3</v>
      </c>
      <c r="D137" s="42">
        <v>4</v>
      </c>
      <c r="E137" s="5"/>
    </row>
    <row r="138" spans="1:5" ht="15" customHeight="1">
      <c r="A138" s="59" t="s">
        <v>1196</v>
      </c>
      <c r="B138" s="2" t="s">
        <v>1197</v>
      </c>
      <c r="C138" s="42">
        <v>3.9</v>
      </c>
      <c r="D138" s="42">
        <v>3.6</v>
      </c>
      <c r="E138" s="5"/>
    </row>
    <row r="139" spans="1:5" ht="15" customHeight="1">
      <c r="A139" s="59" t="s">
        <v>1198</v>
      </c>
      <c r="B139" s="2" t="s">
        <v>1199</v>
      </c>
      <c r="C139" s="42">
        <v>4.2</v>
      </c>
      <c r="D139" s="42">
        <v>3.9</v>
      </c>
      <c r="E139" s="5"/>
    </row>
    <row r="140" spans="1:5" ht="15" customHeight="1">
      <c r="A140" s="59" t="s">
        <v>1200</v>
      </c>
      <c r="B140" s="2" t="s">
        <v>1201</v>
      </c>
      <c r="C140" s="42">
        <v>3.3</v>
      </c>
      <c r="D140" s="42">
        <v>3.2</v>
      </c>
      <c r="E140" s="5"/>
    </row>
    <row r="141" spans="1:5" ht="15" customHeight="1">
      <c r="A141" s="59" t="s">
        <v>1202</v>
      </c>
      <c r="B141" s="2" t="s">
        <v>1203</v>
      </c>
      <c r="C141" s="42">
        <v>5.4</v>
      </c>
      <c r="D141" s="42">
        <v>4.7</v>
      </c>
      <c r="E141" s="5"/>
    </row>
    <row r="142" spans="1:5" ht="15" customHeight="1">
      <c r="A142" s="59" t="s">
        <v>1204</v>
      </c>
      <c r="B142" s="2" t="s">
        <v>1205</v>
      </c>
      <c r="C142" s="42">
        <v>3.5</v>
      </c>
      <c r="D142" s="42">
        <v>3.1</v>
      </c>
      <c r="E142" s="5"/>
    </row>
    <row r="143" spans="1:5" ht="15" customHeight="1">
      <c r="A143" s="59" t="s">
        <v>1206</v>
      </c>
      <c r="B143" s="2" t="s">
        <v>1207</v>
      </c>
      <c r="C143" s="42">
        <v>5.2</v>
      </c>
      <c r="D143" s="42">
        <v>4.5999999999999996</v>
      </c>
      <c r="E143" s="5"/>
    </row>
    <row r="144" spans="1:5" ht="15" customHeight="1">
      <c r="A144" s="59" t="s">
        <v>1208</v>
      </c>
      <c r="B144" s="2" t="s">
        <v>1209</v>
      </c>
      <c r="C144" s="42">
        <v>6.1</v>
      </c>
      <c r="D144" s="42">
        <v>5.5</v>
      </c>
      <c r="E144" s="5"/>
    </row>
    <row r="145" spans="1:5" ht="15" customHeight="1">
      <c r="A145" s="59" t="s">
        <v>1210</v>
      </c>
      <c r="B145" s="2" t="s">
        <v>1211</v>
      </c>
      <c r="C145" s="42">
        <v>3.5</v>
      </c>
      <c r="D145" s="42">
        <v>3.2</v>
      </c>
      <c r="E145" s="5"/>
    </row>
    <row r="146" spans="1:5" ht="15" customHeight="1">
      <c r="A146" s="59" t="s">
        <v>1212</v>
      </c>
      <c r="B146" s="2" t="s">
        <v>1213</v>
      </c>
      <c r="C146" s="42">
        <v>5.5</v>
      </c>
      <c r="D146" s="42">
        <v>4.9000000000000004</v>
      </c>
      <c r="E146" s="5"/>
    </row>
    <row r="147" spans="1:5" ht="15" customHeight="1">
      <c r="A147" s="59" t="s">
        <v>1214</v>
      </c>
      <c r="B147" s="2" t="s">
        <v>1215</v>
      </c>
      <c r="C147" s="42">
        <v>4.0999999999999996</v>
      </c>
      <c r="D147" s="42">
        <v>4</v>
      </c>
      <c r="E147" s="5"/>
    </row>
    <row r="148" spans="1:5" ht="15" customHeight="1">
      <c r="A148" s="59" t="s">
        <v>1216</v>
      </c>
      <c r="B148" s="2" t="s">
        <v>1217</v>
      </c>
      <c r="C148" s="42">
        <v>3.7</v>
      </c>
      <c r="D148" s="42">
        <v>3.4</v>
      </c>
      <c r="E148" s="5"/>
    </row>
    <row r="149" spans="1:5" ht="15" customHeight="1">
      <c r="A149" s="59" t="s">
        <v>1218</v>
      </c>
      <c r="B149" s="2" t="s">
        <v>1219</v>
      </c>
      <c r="C149" s="42">
        <v>4.8</v>
      </c>
      <c r="D149" s="42">
        <v>4.4000000000000004</v>
      </c>
      <c r="E149" s="5"/>
    </row>
    <row r="150" spans="1:5" ht="15" customHeight="1">
      <c r="A150" s="59" t="s">
        <v>1220</v>
      </c>
      <c r="B150" s="2" t="s">
        <v>1221</v>
      </c>
      <c r="C150" s="42">
        <v>4.5</v>
      </c>
      <c r="D150" s="42">
        <v>4.0999999999999996</v>
      </c>
      <c r="E150" s="5"/>
    </row>
    <row r="151" spans="1:5" ht="15" customHeight="1">
      <c r="A151" s="59" t="s">
        <v>1222</v>
      </c>
      <c r="B151" s="2" t="s">
        <v>1223</v>
      </c>
      <c r="C151" s="42">
        <v>5.2</v>
      </c>
      <c r="D151" s="42">
        <v>4.8</v>
      </c>
      <c r="E151" s="5"/>
    </row>
    <row r="152" spans="1:5" ht="15" customHeight="1">
      <c r="A152" s="59" t="s">
        <v>1224</v>
      </c>
      <c r="B152" s="2" t="s">
        <v>1225</v>
      </c>
      <c r="C152" s="42">
        <v>4.5999999999999996</v>
      </c>
      <c r="D152" s="42">
        <v>4.2</v>
      </c>
      <c r="E152" s="5"/>
    </row>
    <row r="153" spans="1:5" ht="15" customHeight="1">
      <c r="A153" s="59" t="s">
        <v>1226</v>
      </c>
      <c r="B153" s="2" t="s">
        <v>1227</v>
      </c>
      <c r="C153" s="42">
        <v>6.7</v>
      </c>
      <c r="D153" s="42">
        <v>5.7</v>
      </c>
      <c r="E153" s="5"/>
    </row>
    <row r="154" spans="1:5" ht="15" customHeight="1">
      <c r="A154" s="59" t="s">
        <v>1228</v>
      </c>
      <c r="B154" s="2" t="s">
        <v>1229</v>
      </c>
      <c r="C154" s="42">
        <v>5.3</v>
      </c>
      <c r="D154" s="42">
        <v>5.0999999999999996</v>
      </c>
      <c r="E154" s="5"/>
    </row>
    <row r="155" spans="1:5" ht="15" customHeight="1">
      <c r="A155" s="59" t="s">
        <v>1230</v>
      </c>
      <c r="B155" s="2" t="s">
        <v>1231</v>
      </c>
      <c r="C155" s="42">
        <v>5.7</v>
      </c>
      <c r="D155" s="42">
        <v>4.9000000000000004</v>
      </c>
      <c r="E155" s="5"/>
    </row>
    <row r="156" spans="1:5" ht="15" customHeight="1">
      <c r="A156" s="59" t="s">
        <v>1232</v>
      </c>
      <c r="B156" s="2" t="s">
        <v>1233</v>
      </c>
      <c r="C156" s="42">
        <v>6.1</v>
      </c>
      <c r="D156" s="42">
        <v>5.4</v>
      </c>
      <c r="E156" s="5"/>
    </row>
    <row r="157" spans="1:5" ht="15" customHeight="1">
      <c r="A157" s="59" t="s">
        <v>1234</v>
      </c>
      <c r="B157" s="2" t="s">
        <v>1235</v>
      </c>
      <c r="C157" s="42">
        <v>4.7</v>
      </c>
      <c r="D157" s="42">
        <v>4.2</v>
      </c>
      <c r="E157" s="5"/>
    </row>
    <row r="158" spans="1:5" ht="15" customHeight="1">
      <c r="A158" s="59" t="s">
        <v>1236</v>
      </c>
      <c r="B158" s="2" t="s">
        <v>1237</v>
      </c>
      <c r="C158" s="42">
        <v>7.4</v>
      </c>
      <c r="D158" s="42">
        <v>6.1</v>
      </c>
      <c r="E158" s="5"/>
    </row>
    <row r="159" spans="1:5" ht="15" customHeight="1">
      <c r="A159" s="59" t="s">
        <v>1238</v>
      </c>
      <c r="B159" s="2" t="s">
        <v>1239</v>
      </c>
      <c r="C159" s="42">
        <v>4.9000000000000004</v>
      </c>
      <c r="D159" s="42">
        <v>4</v>
      </c>
      <c r="E159" s="5"/>
    </row>
    <row r="160" spans="1:5" ht="15" customHeight="1">
      <c r="A160" s="59" t="s">
        <v>1240</v>
      </c>
      <c r="B160" s="2" t="s">
        <v>1241</v>
      </c>
      <c r="C160" s="42">
        <v>6.5</v>
      </c>
      <c r="D160" s="42">
        <v>5.9</v>
      </c>
      <c r="E160" s="5"/>
    </row>
    <row r="161" spans="1:5" ht="15" customHeight="1">
      <c r="A161" s="59" t="s">
        <v>1242</v>
      </c>
      <c r="B161" s="2" t="s">
        <v>1243</v>
      </c>
      <c r="C161" s="42">
        <v>4.5</v>
      </c>
      <c r="D161" s="42">
        <v>4.0999999999999996</v>
      </c>
      <c r="E161" s="5"/>
    </row>
    <row r="162" spans="1:5" ht="15" customHeight="1">
      <c r="A162" s="59" t="s">
        <v>1244</v>
      </c>
      <c r="B162" s="2" t="s">
        <v>1245</v>
      </c>
      <c r="C162" s="42">
        <v>5</v>
      </c>
      <c r="D162" s="42">
        <v>4.3</v>
      </c>
      <c r="E162" s="5"/>
    </row>
    <row r="163" spans="1:5" ht="15" customHeight="1">
      <c r="A163" s="59" t="s">
        <v>1246</v>
      </c>
      <c r="B163" s="2" t="s">
        <v>1247</v>
      </c>
      <c r="C163" s="42">
        <v>5.3</v>
      </c>
      <c r="D163" s="42">
        <v>5.0999999999999996</v>
      </c>
      <c r="E163" s="5"/>
    </row>
    <row r="164" spans="1:5" ht="15" customHeight="1">
      <c r="A164" s="59" t="s">
        <v>1248</v>
      </c>
      <c r="B164" s="2" t="s">
        <v>1249</v>
      </c>
      <c r="C164" s="42">
        <v>4.9000000000000004</v>
      </c>
      <c r="D164" s="42">
        <v>4.4000000000000004</v>
      </c>
      <c r="E164" s="5"/>
    </row>
    <row r="165" spans="1:5" ht="15" customHeight="1">
      <c r="A165" s="59" t="s">
        <v>1250</v>
      </c>
      <c r="B165" s="2" t="s">
        <v>1251</v>
      </c>
      <c r="C165" s="42">
        <v>3.8</v>
      </c>
      <c r="D165" s="42">
        <v>3.5</v>
      </c>
      <c r="E165" s="5"/>
    </row>
    <row r="166" spans="1:5" ht="15" customHeight="1">
      <c r="A166" s="59" t="s">
        <v>1252</v>
      </c>
      <c r="B166" s="2" t="s">
        <v>1253</v>
      </c>
      <c r="C166" s="42">
        <v>6.3</v>
      </c>
      <c r="D166" s="42">
        <v>5.9</v>
      </c>
      <c r="E166" s="5"/>
    </row>
    <row r="167" spans="1:5" ht="15" customHeight="1">
      <c r="A167" s="59" t="s">
        <v>1254</v>
      </c>
      <c r="B167" s="2" t="s">
        <v>1255</v>
      </c>
      <c r="C167" s="42">
        <v>6.1</v>
      </c>
      <c r="D167" s="42">
        <v>5.7</v>
      </c>
      <c r="E167" s="5"/>
    </row>
    <row r="168" spans="1:5" ht="15" customHeight="1">
      <c r="A168" s="59" t="s">
        <v>1256</v>
      </c>
      <c r="B168" s="2" t="s">
        <v>1257</v>
      </c>
      <c r="C168" s="42">
        <v>4.7</v>
      </c>
      <c r="D168" s="42">
        <v>4.2</v>
      </c>
      <c r="E168" s="5"/>
    </row>
    <row r="169" spans="1:5" ht="15" customHeight="1">
      <c r="A169" s="59" t="s">
        <v>1258</v>
      </c>
      <c r="B169" s="2" t="s">
        <v>1259</v>
      </c>
      <c r="C169" s="42">
        <v>4.8</v>
      </c>
      <c r="D169" s="42">
        <v>4.3</v>
      </c>
      <c r="E169" s="5"/>
    </row>
    <row r="170" spans="1:5" ht="15" customHeight="1">
      <c r="A170" s="59" t="s">
        <v>1260</v>
      </c>
      <c r="B170" s="2" t="s">
        <v>1261</v>
      </c>
      <c r="C170" s="42">
        <v>5.5</v>
      </c>
      <c r="D170" s="42">
        <v>4.9000000000000004</v>
      </c>
      <c r="E170" s="5"/>
    </row>
    <row r="171" spans="1:5" ht="15" customHeight="1">
      <c r="A171" s="59" t="s">
        <v>1262</v>
      </c>
      <c r="B171" s="2" t="s">
        <v>1263</v>
      </c>
      <c r="C171" s="42">
        <v>5.9</v>
      </c>
      <c r="D171" s="42">
        <v>5</v>
      </c>
      <c r="E171" s="5"/>
    </row>
    <row r="172" spans="1:5" ht="15" customHeight="1">
      <c r="A172" s="59" t="s">
        <v>1264</v>
      </c>
      <c r="B172" s="2" t="s">
        <v>1265</v>
      </c>
      <c r="C172" s="42">
        <v>4.8</v>
      </c>
      <c r="D172" s="42">
        <v>4.3</v>
      </c>
      <c r="E172" s="5"/>
    </row>
    <row r="173" spans="1:5" ht="15" customHeight="1">
      <c r="A173" s="59" t="s">
        <v>1266</v>
      </c>
      <c r="B173" s="2" t="s">
        <v>1267</v>
      </c>
      <c r="C173" s="42">
        <v>4.9000000000000004</v>
      </c>
      <c r="D173" s="42">
        <v>4.2</v>
      </c>
      <c r="E173" s="5"/>
    </row>
    <row r="174" spans="1:5" ht="15" customHeight="1">
      <c r="A174" s="59" t="s">
        <v>1268</v>
      </c>
      <c r="B174" s="2" t="s">
        <v>1269</v>
      </c>
      <c r="C174" s="42">
        <v>3.9</v>
      </c>
      <c r="D174" s="42">
        <v>3.2</v>
      </c>
      <c r="E174" s="5"/>
    </row>
    <row r="175" spans="1:5" ht="15" customHeight="1">
      <c r="A175" s="59" t="s">
        <v>1270</v>
      </c>
      <c r="B175" s="2" t="s">
        <v>1271</v>
      </c>
      <c r="C175" s="42">
        <v>9.4</v>
      </c>
      <c r="D175" s="42">
        <v>8.1</v>
      </c>
      <c r="E175" s="5"/>
    </row>
    <row r="176" spans="1:5" ht="15" customHeight="1">
      <c r="A176" s="59" t="s">
        <v>1272</v>
      </c>
      <c r="B176" s="2" t="s">
        <v>1273</v>
      </c>
      <c r="C176" s="42">
        <v>7.2</v>
      </c>
      <c r="D176" s="42">
        <v>6.2</v>
      </c>
      <c r="E176" s="5"/>
    </row>
    <row r="177" spans="1:5" ht="15" customHeight="1">
      <c r="A177" s="59" t="s">
        <v>1274</v>
      </c>
      <c r="B177" s="2" t="s">
        <v>1275</v>
      </c>
      <c r="C177" s="42">
        <v>5.0999999999999996</v>
      </c>
      <c r="D177" s="42">
        <v>4.5999999999999996</v>
      </c>
      <c r="E177" s="5"/>
    </row>
    <row r="178" spans="1:5" ht="15" customHeight="1">
      <c r="A178" s="59" t="s">
        <v>1276</v>
      </c>
      <c r="B178" s="2" t="s">
        <v>1277</v>
      </c>
      <c r="C178" s="42">
        <v>4.9000000000000004</v>
      </c>
      <c r="D178" s="42">
        <v>4.4000000000000004</v>
      </c>
      <c r="E178" s="5"/>
    </row>
    <row r="179" spans="1:5" ht="15" customHeight="1">
      <c r="A179" s="59" t="s">
        <v>1278</v>
      </c>
      <c r="B179" s="2" t="s">
        <v>1279</v>
      </c>
      <c r="C179" s="42">
        <v>4.0999999999999996</v>
      </c>
      <c r="D179" s="42">
        <v>3.7</v>
      </c>
      <c r="E179" s="5"/>
    </row>
    <row r="180" spans="1:5" ht="15" customHeight="1">
      <c r="A180" s="59" t="s">
        <v>1280</v>
      </c>
      <c r="B180" s="2" t="s">
        <v>1281</v>
      </c>
      <c r="C180" s="42">
        <v>6.9</v>
      </c>
      <c r="D180" s="42">
        <v>6</v>
      </c>
      <c r="E180" s="5"/>
    </row>
    <row r="181" spans="1:5" ht="15" customHeight="1">
      <c r="A181" s="59" t="s">
        <v>1282</v>
      </c>
      <c r="B181" s="2" t="s">
        <v>1283</v>
      </c>
      <c r="C181" s="42">
        <v>4.9000000000000004</v>
      </c>
      <c r="D181" s="42">
        <v>4.5999999999999996</v>
      </c>
      <c r="E181" s="5"/>
    </row>
    <row r="182" spans="1:5" ht="15" customHeight="1">
      <c r="A182" s="59" t="s">
        <v>1284</v>
      </c>
      <c r="B182" s="2" t="s">
        <v>1285</v>
      </c>
      <c r="C182" s="42">
        <v>4.3</v>
      </c>
      <c r="D182" s="42">
        <v>4</v>
      </c>
      <c r="E182" s="5"/>
    </row>
    <row r="183" spans="1:5" ht="15" customHeight="1">
      <c r="A183" s="59" t="s">
        <v>1286</v>
      </c>
      <c r="B183" s="2" t="s">
        <v>1287</v>
      </c>
      <c r="C183" s="42">
        <v>4.2</v>
      </c>
      <c r="D183" s="42">
        <v>3.7</v>
      </c>
      <c r="E183" s="5"/>
    </row>
    <row r="184" spans="1:5" ht="15" customHeight="1">
      <c r="A184" s="59" t="s">
        <v>1288</v>
      </c>
      <c r="B184" s="2" t="s">
        <v>1289</v>
      </c>
      <c r="C184" s="42">
        <v>4.9000000000000004</v>
      </c>
      <c r="D184" s="42">
        <v>4.5</v>
      </c>
      <c r="E184" s="5"/>
    </row>
    <row r="185" spans="1:5" ht="15" customHeight="1">
      <c r="A185" s="59" t="s">
        <v>1290</v>
      </c>
      <c r="B185" s="2" t="s">
        <v>1291</v>
      </c>
      <c r="C185" s="42">
        <v>4.3</v>
      </c>
      <c r="D185" s="42">
        <v>3.9</v>
      </c>
      <c r="E185" s="5"/>
    </row>
    <row r="186" spans="1:5" ht="15" customHeight="1">
      <c r="A186" s="59" t="s">
        <v>1292</v>
      </c>
      <c r="B186" s="2" t="s">
        <v>1293</v>
      </c>
      <c r="C186" s="42">
        <v>4.0999999999999996</v>
      </c>
      <c r="D186" s="42">
        <v>3.9</v>
      </c>
      <c r="E186" s="5"/>
    </row>
    <row r="187" spans="1:5" ht="15" customHeight="1">
      <c r="A187" s="59" t="s">
        <v>1294</v>
      </c>
      <c r="B187" s="2" t="s">
        <v>1295</v>
      </c>
      <c r="C187" s="42">
        <v>6</v>
      </c>
      <c r="D187" s="42">
        <v>5.3</v>
      </c>
      <c r="E187" s="5"/>
    </row>
    <row r="188" spans="1:5" ht="15" customHeight="1">
      <c r="A188" s="59" t="s">
        <v>1296</v>
      </c>
      <c r="B188" s="2" t="s">
        <v>1297</v>
      </c>
      <c r="C188" s="42">
        <v>6.3</v>
      </c>
      <c r="D188" s="42">
        <v>5.5</v>
      </c>
      <c r="E188" s="5"/>
    </row>
    <row r="189" spans="1:5" ht="15" customHeight="1">
      <c r="A189" s="59" t="s">
        <v>1298</v>
      </c>
      <c r="B189" s="2" t="s">
        <v>1299</v>
      </c>
      <c r="C189" s="42">
        <v>7.1</v>
      </c>
      <c r="D189" s="42">
        <v>6.1</v>
      </c>
      <c r="E189" s="5"/>
    </row>
    <row r="190" spans="1:5" ht="15" customHeight="1">
      <c r="A190" s="59" t="s">
        <v>1300</v>
      </c>
      <c r="B190" s="2" t="s">
        <v>1301</v>
      </c>
      <c r="C190" s="42">
        <v>5.5</v>
      </c>
      <c r="D190" s="42">
        <v>5.2</v>
      </c>
      <c r="E190" s="5"/>
    </row>
    <row r="191" spans="1:5" ht="15" customHeight="1">
      <c r="A191" s="59" t="s">
        <v>1302</v>
      </c>
      <c r="B191" s="2" t="s">
        <v>1303</v>
      </c>
      <c r="C191" s="42">
        <v>5.5</v>
      </c>
      <c r="D191" s="42">
        <v>4.9000000000000004</v>
      </c>
      <c r="E191" s="5"/>
    </row>
    <row r="192" spans="1:5" ht="15" customHeight="1">
      <c r="A192" s="59" t="s">
        <v>1304</v>
      </c>
      <c r="B192" s="2" t="s">
        <v>1305</v>
      </c>
      <c r="C192" s="42">
        <v>4.7</v>
      </c>
      <c r="D192" s="42">
        <v>4.3</v>
      </c>
      <c r="E192" s="5"/>
    </row>
    <row r="193" spans="1:5" ht="15" customHeight="1">
      <c r="A193" s="59" t="s">
        <v>1306</v>
      </c>
      <c r="B193" s="2" t="s">
        <v>1307</v>
      </c>
      <c r="C193" s="42">
        <v>3.9</v>
      </c>
      <c r="D193" s="42">
        <v>3.4</v>
      </c>
      <c r="E193" s="5"/>
    </row>
    <row r="194" spans="1:5" ht="15" customHeight="1">
      <c r="A194" s="59" t="s">
        <v>1308</v>
      </c>
      <c r="B194" s="2" t="s">
        <v>1309</v>
      </c>
      <c r="C194" s="42">
        <v>4.3</v>
      </c>
      <c r="D194" s="42">
        <v>3.9</v>
      </c>
      <c r="E194" s="5"/>
    </row>
    <row r="195" spans="1:5" ht="15" customHeight="1">
      <c r="A195" s="59" t="s">
        <v>1310</v>
      </c>
      <c r="B195" s="2" t="s">
        <v>1311</v>
      </c>
      <c r="C195" s="42">
        <v>4.8</v>
      </c>
      <c r="D195" s="42">
        <v>4.3</v>
      </c>
      <c r="E195" s="5"/>
    </row>
    <row r="196" spans="1:5" ht="15" customHeight="1">
      <c r="A196" s="59" t="s">
        <v>1312</v>
      </c>
      <c r="B196" s="2" t="s">
        <v>1313</v>
      </c>
      <c r="C196" s="42">
        <v>6.3</v>
      </c>
      <c r="D196" s="42">
        <v>5.4</v>
      </c>
      <c r="E196" s="5"/>
    </row>
  </sheetData>
  <pageMargins left="0.7" right="0.7" top="0.75" bottom="0.75" header="0.3" footer="0.3"/>
  <pageSetup orientation="portrait"/>
  <headerFooter>
    <oddFooter>&amp;C&amp;"Helvetica,Regular"&amp;12&amp;K000000&amp;P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93"/>
  <sheetViews>
    <sheetView showGridLines="0" workbookViewId="0"/>
  </sheetViews>
  <sheetFormatPr baseColWidth="10" defaultColWidth="8.83203125" defaultRowHeight="14" customHeight="1"/>
  <cols>
    <col min="1" max="1" width="20.83203125" style="128" customWidth="1"/>
    <col min="2" max="2" width="61.83203125" style="128" customWidth="1"/>
    <col min="3" max="3" width="17" style="128" customWidth="1"/>
    <col min="4" max="256" width="8.83203125" style="128" customWidth="1"/>
  </cols>
  <sheetData>
    <row r="1" spans="1:6" ht="15" customHeight="1">
      <c r="A1" s="2" t="s">
        <v>1314</v>
      </c>
      <c r="B1" s="2" t="s">
        <v>929</v>
      </c>
      <c r="C1" s="2" t="s">
        <v>930</v>
      </c>
      <c r="D1" s="42">
        <v>2015</v>
      </c>
      <c r="E1" s="42">
        <v>2016</v>
      </c>
      <c r="F1" s="50" t="s">
        <v>1315</v>
      </c>
    </row>
    <row r="2" spans="1:6" ht="15" customHeight="1">
      <c r="A2" s="2" t="str">
        <f t="shared" ref="A2:A33" si="0">SUBSTITUTE(SUBSTITUTE(SUBSTITUTE(SUBSTITUTE(B2," city/town, CT","")," town, CT","")," city, CT","")," borough, CT","")</f>
        <v>Andover</v>
      </c>
      <c r="B2" s="2" t="s">
        <v>931</v>
      </c>
      <c r="C2" s="2" t="s">
        <v>932</v>
      </c>
      <c r="D2" s="42">
        <v>4.5</v>
      </c>
      <c r="E2" s="42">
        <v>4.0999999999999996</v>
      </c>
      <c r="F2" s="42">
        <f t="shared" ref="F2:F33" si="1">E2-D2</f>
        <v>-0.40000000000000036</v>
      </c>
    </row>
    <row r="3" spans="1:6" ht="15" customHeight="1">
      <c r="A3" s="2" t="str">
        <f t="shared" si="0"/>
        <v>Ansonia</v>
      </c>
      <c r="B3" s="2" t="s">
        <v>933</v>
      </c>
      <c r="C3" s="2" t="s">
        <v>934</v>
      </c>
      <c r="D3" s="42">
        <v>8.1</v>
      </c>
      <c r="E3" s="42">
        <v>7</v>
      </c>
      <c r="F3" s="42">
        <f t="shared" si="1"/>
        <v>-1.0999999999999996</v>
      </c>
    </row>
    <row r="4" spans="1:6" ht="15" customHeight="1">
      <c r="A4" s="2" t="str">
        <f t="shared" si="0"/>
        <v>Ashford</v>
      </c>
      <c r="B4" s="2" t="s">
        <v>935</v>
      </c>
      <c r="C4" s="2" t="s">
        <v>936</v>
      </c>
      <c r="D4" s="42">
        <v>4.5</v>
      </c>
      <c r="E4" s="42">
        <v>4.4000000000000004</v>
      </c>
      <c r="F4" s="42">
        <f t="shared" si="1"/>
        <v>-9.9999999999999645E-2</v>
      </c>
    </row>
    <row r="5" spans="1:6" ht="15" customHeight="1">
      <c r="A5" s="2" t="str">
        <f t="shared" si="0"/>
        <v>Avon</v>
      </c>
      <c r="B5" s="2" t="s">
        <v>937</v>
      </c>
      <c r="C5" s="2" t="s">
        <v>938</v>
      </c>
      <c r="D5" s="42">
        <v>3.7</v>
      </c>
      <c r="E5" s="42">
        <v>3.4</v>
      </c>
      <c r="F5" s="42">
        <f t="shared" si="1"/>
        <v>-0.30000000000000027</v>
      </c>
    </row>
    <row r="6" spans="1:6" ht="15" customHeight="1">
      <c r="A6" s="2" t="str">
        <f t="shared" si="0"/>
        <v>Barkhamsted</v>
      </c>
      <c r="B6" s="2" t="s">
        <v>939</v>
      </c>
      <c r="C6" s="2" t="s">
        <v>940</v>
      </c>
      <c r="D6" s="42">
        <v>4.5999999999999996</v>
      </c>
      <c r="E6" s="42">
        <v>4.4000000000000004</v>
      </c>
      <c r="F6" s="42">
        <f t="shared" si="1"/>
        <v>-0.19999999999999929</v>
      </c>
    </row>
    <row r="7" spans="1:6" ht="15" customHeight="1">
      <c r="A7" s="2" t="str">
        <f t="shared" si="0"/>
        <v>Beacon Falls</v>
      </c>
      <c r="B7" s="2" t="s">
        <v>941</v>
      </c>
      <c r="C7" s="2" t="s">
        <v>942</v>
      </c>
      <c r="D7" s="42">
        <v>5.2</v>
      </c>
      <c r="E7" s="42">
        <v>4.5999999999999996</v>
      </c>
      <c r="F7" s="42">
        <f t="shared" si="1"/>
        <v>-0.60000000000000053</v>
      </c>
    </row>
    <row r="8" spans="1:6" ht="15" customHeight="1">
      <c r="A8" s="2" t="str">
        <f t="shared" si="0"/>
        <v>Berlin</v>
      </c>
      <c r="B8" s="2" t="s">
        <v>943</v>
      </c>
      <c r="C8" s="2" t="s">
        <v>944</v>
      </c>
      <c r="D8" s="42">
        <v>4.7</v>
      </c>
      <c r="E8" s="42">
        <v>4.0999999999999996</v>
      </c>
      <c r="F8" s="42">
        <f t="shared" si="1"/>
        <v>-0.60000000000000053</v>
      </c>
    </row>
    <row r="9" spans="1:6" ht="15" customHeight="1">
      <c r="A9" s="2" t="str">
        <f t="shared" si="0"/>
        <v>Bethany</v>
      </c>
      <c r="B9" s="2" t="s">
        <v>945</v>
      </c>
      <c r="C9" s="2" t="s">
        <v>946</v>
      </c>
      <c r="D9" s="42">
        <v>4.4000000000000004</v>
      </c>
      <c r="E9" s="42">
        <v>3.9</v>
      </c>
      <c r="F9" s="42">
        <f t="shared" si="1"/>
        <v>-0.50000000000000044</v>
      </c>
    </row>
    <row r="10" spans="1:6" ht="15" customHeight="1">
      <c r="A10" s="2" t="str">
        <f t="shared" si="0"/>
        <v>Bethel</v>
      </c>
      <c r="B10" s="2" t="s">
        <v>947</v>
      </c>
      <c r="C10" s="2" t="s">
        <v>948</v>
      </c>
      <c r="D10" s="42">
        <v>4.7</v>
      </c>
      <c r="E10" s="42">
        <v>4.3</v>
      </c>
      <c r="F10" s="42">
        <f t="shared" si="1"/>
        <v>-0.40000000000000036</v>
      </c>
    </row>
    <row r="11" spans="1:6" ht="15" customHeight="1">
      <c r="A11" s="2" t="str">
        <f t="shared" si="0"/>
        <v>Bethlehem</v>
      </c>
      <c r="B11" s="2" t="s">
        <v>949</v>
      </c>
      <c r="C11" s="2" t="s">
        <v>950</v>
      </c>
      <c r="D11" s="42">
        <v>4.5999999999999996</v>
      </c>
      <c r="E11" s="42">
        <v>4.4000000000000004</v>
      </c>
      <c r="F11" s="42">
        <f t="shared" si="1"/>
        <v>-0.19999999999999929</v>
      </c>
    </row>
    <row r="12" spans="1:6" ht="15" customHeight="1">
      <c r="A12" s="2" t="str">
        <f t="shared" si="0"/>
        <v>Bloomfield</v>
      </c>
      <c r="B12" s="2" t="s">
        <v>951</v>
      </c>
      <c r="C12" s="2" t="s">
        <v>952</v>
      </c>
      <c r="D12" s="42">
        <v>6.3</v>
      </c>
      <c r="E12" s="42">
        <v>5.5</v>
      </c>
      <c r="F12" s="42">
        <f t="shared" si="1"/>
        <v>-0.79999999999999982</v>
      </c>
    </row>
    <row r="13" spans="1:6" ht="15" customHeight="1">
      <c r="A13" s="2" t="str">
        <f t="shared" si="0"/>
        <v>Bolton</v>
      </c>
      <c r="B13" s="2" t="s">
        <v>953</v>
      </c>
      <c r="C13" s="2" t="s">
        <v>954</v>
      </c>
      <c r="D13" s="42">
        <v>3.9</v>
      </c>
      <c r="E13" s="42">
        <v>3.6</v>
      </c>
      <c r="F13" s="42">
        <f t="shared" si="1"/>
        <v>-0.29999999999999982</v>
      </c>
    </row>
    <row r="14" spans="1:6" ht="15" customHeight="1">
      <c r="A14" s="2" t="str">
        <f t="shared" si="0"/>
        <v>Bozrah</v>
      </c>
      <c r="B14" s="2" t="s">
        <v>955</v>
      </c>
      <c r="C14" s="2" t="s">
        <v>956</v>
      </c>
      <c r="D14" s="42">
        <v>5.4</v>
      </c>
      <c r="E14" s="42">
        <v>4.5999999999999996</v>
      </c>
      <c r="F14" s="42">
        <f t="shared" si="1"/>
        <v>-0.80000000000000071</v>
      </c>
    </row>
    <row r="15" spans="1:6" ht="15" customHeight="1">
      <c r="A15" s="2" t="str">
        <f t="shared" si="0"/>
        <v>Branford</v>
      </c>
      <c r="B15" s="2" t="s">
        <v>957</v>
      </c>
      <c r="C15" s="2" t="s">
        <v>958</v>
      </c>
      <c r="D15" s="42">
        <v>5.0999999999999996</v>
      </c>
      <c r="E15" s="42">
        <v>4.5</v>
      </c>
      <c r="F15" s="42">
        <f t="shared" si="1"/>
        <v>-0.59999999999999964</v>
      </c>
    </row>
    <row r="16" spans="1:6" ht="15" customHeight="1">
      <c r="A16" s="2" t="str">
        <f t="shared" si="0"/>
        <v>Bridgeport</v>
      </c>
      <c r="B16" s="2" t="s">
        <v>959</v>
      </c>
      <c r="C16" s="2" t="s">
        <v>960</v>
      </c>
      <c r="D16" s="42">
        <v>8.8000000000000007</v>
      </c>
      <c r="E16" s="42">
        <v>7.7</v>
      </c>
      <c r="F16" s="42">
        <f t="shared" si="1"/>
        <v>-1.1000000000000005</v>
      </c>
    </row>
    <row r="17" spans="1:6" ht="15" customHeight="1">
      <c r="A17" s="2" t="str">
        <f t="shared" si="0"/>
        <v>Bridgeport-New Haven-Stamford, CT Combined NECTA</v>
      </c>
      <c r="B17" s="2" t="s">
        <v>961</v>
      </c>
      <c r="C17" s="2" t="s">
        <v>962</v>
      </c>
      <c r="D17" s="42">
        <v>5.7</v>
      </c>
      <c r="E17" s="42">
        <v>5.0999999999999996</v>
      </c>
      <c r="F17" s="42">
        <f t="shared" si="1"/>
        <v>-0.60000000000000053</v>
      </c>
    </row>
    <row r="18" spans="1:6" ht="15" customHeight="1">
      <c r="A18" s="2" t="str">
        <f t="shared" si="0"/>
        <v>Bridgeport-Stamford-Norwalk, CT Metropolitan NECTA</v>
      </c>
      <c r="B18" s="2" t="s">
        <v>963</v>
      </c>
      <c r="C18" s="2" t="s">
        <v>964</v>
      </c>
      <c r="D18" s="42">
        <v>5.6</v>
      </c>
      <c r="E18" s="42">
        <v>5</v>
      </c>
      <c r="F18" s="42">
        <f t="shared" si="1"/>
        <v>-0.59999999999999964</v>
      </c>
    </row>
    <row r="19" spans="1:6" ht="15" customHeight="1">
      <c r="A19" s="2" t="str">
        <f t="shared" si="0"/>
        <v>Bridgewater</v>
      </c>
      <c r="B19" s="2" t="s">
        <v>965</v>
      </c>
      <c r="C19" s="2" t="s">
        <v>966</v>
      </c>
      <c r="D19" s="42">
        <v>4.5</v>
      </c>
      <c r="E19" s="42">
        <v>3.4</v>
      </c>
      <c r="F19" s="42">
        <f t="shared" si="1"/>
        <v>-1.1000000000000001</v>
      </c>
    </row>
    <row r="20" spans="1:6" ht="15" customHeight="1">
      <c r="A20" s="2" t="str">
        <f t="shared" si="0"/>
        <v>Bristol</v>
      </c>
      <c r="B20" s="2" t="s">
        <v>967</v>
      </c>
      <c r="C20" s="2" t="s">
        <v>968</v>
      </c>
      <c r="D20" s="42">
        <v>6.6</v>
      </c>
      <c r="E20" s="42">
        <v>5.7</v>
      </c>
      <c r="F20" s="42">
        <f t="shared" si="1"/>
        <v>-0.89999999999999947</v>
      </c>
    </row>
    <row r="21" spans="1:6" ht="15" customHeight="1">
      <c r="A21" s="2" t="str">
        <f t="shared" si="0"/>
        <v>Brookfield</v>
      </c>
      <c r="B21" s="2" t="s">
        <v>969</v>
      </c>
      <c r="C21" s="2" t="s">
        <v>970</v>
      </c>
      <c r="D21" s="42">
        <v>4.4000000000000004</v>
      </c>
      <c r="E21" s="42">
        <v>4.0999999999999996</v>
      </c>
      <c r="F21" s="42">
        <f t="shared" si="1"/>
        <v>-0.30000000000000071</v>
      </c>
    </row>
    <row r="22" spans="1:6" ht="15" customHeight="1">
      <c r="A22" s="2" t="str">
        <f t="shared" si="0"/>
        <v>Brooklyn</v>
      </c>
      <c r="B22" s="2" t="s">
        <v>971</v>
      </c>
      <c r="C22" s="2" t="s">
        <v>972</v>
      </c>
      <c r="D22" s="42">
        <v>6</v>
      </c>
      <c r="E22" s="42">
        <v>5.0999999999999996</v>
      </c>
      <c r="F22" s="42">
        <f t="shared" si="1"/>
        <v>-0.90000000000000036</v>
      </c>
    </row>
    <row r="23" spans="1:6" ht="15" customHeight="1">
      <c r="A23" s="2" t="str">
        <f t="shared" si="0"/>
        <v>Burlington</v>
      </c>
      <c r="B23" s="2" t="s">
        <v>973</v>
      </c>
      <c r="C23" s="2" t="s">
        <v>974</v>
      </c>
      <c r="D23" s="42">
        <v>4.3</v>
      </c>
      <c r="E23" s="42">
        <v>4.0999999999999996</v>
      </c>
      <c r="F23" s="42">
        <f t="shared" si="1"/>
        <v>-0.20000000000000018</v>
      </c>
    </row>
    <row r="24" spans="1:6" ht="15" customHeight="1">
      <c r="A24" s="2" t="str">
        <f t="shared" si="0"/>
        <v>Canaan</v>
      </c>
      <c r="B24" s="2" t="s">
        <v>975</v>
      </c>
      <c r="C24" s="2" t="s">
        <v>976</v>
      </c>
      <c r="D24" s="42">
        <v>3.7</v>
      </c>
      <c r="E24" s="42">
        <v>3</v>
      </c>
      <c r="F24" s="42">
        <f t="shared" si="1"/>
        <v>-0.70000000000000018</v>
      </c>
    </row>
    <row r="25" spans="1:6" ht="15" customHeight="1">
      <c r="A25" s="2" t="str">
        <f t="shared" si="0"/>
        <v>Canterbury</v>
      </c>
      <c r="B25" s="2" t="s">
        <v>977</v>
      </c>
      <c r="C25" s="2" t="s">
        <v>978</v>
      </c>
      <c r="D25" s="42">
        <v>5.9</v>
      </c>
      <c r="E25" s="42">
        <v>5</v>
      </c>
      <c r="F25" s="42">
        <f t="shared" si="1"/>
        <v>-0.90000000000000036</v>
      </c>
    </row>
    <row r="26" spans="1:6" ht="15" customHeight="1">
      <c r="A26" s="2" t="str">
        <f t="shared" si="0"/>
        <v>Canton</v>
      </c>
      <c r="B26" s="2" t="s">
        <v>979</v>
      </c>
      <c r="C26" s="2" t="s">
        <v>980</v>
      </c>
      <c r="D26" s="42">
        <v>3.9</v>
      </c>
      <c r="E26" s="42">
        <v>3.6</v>
      </c>
      <c r="F26" s="42">
        <f t="shared" si="1"/>
        <v>-0.29999999999999982</v>
      </c>
    </row>
    <row r="27" spans="1:6" ht="15" customHeight="1">
      <c r="A27" s="2" t="str">
        <f t="shared" si="0"/>
        <v>Chaplin</v>
      </c>
      <c r="B27" s="2" t="s">
        <v>981</v>
      </c>
      <c r="C27" s="2" t="s">
        <v>982</v>
      </c>
      <c r="D27" s="42">
        <v>6.1</v>
      </c>
      <c r="E27" s="42">
        <v>5.4</v>
      </c>
      <c r="F27" s="42">
        <f t="shared" si="1"/>
        <v>-0.69999999999999929</v>
      </c>
    </row>
    <row r="28" spans="1:6" ht="15" customHeight="1">
      <c r="A28" s="2" t="str">
        <f t="shared" si="0"/>
        <v>Cheshire</v>
      </c>
      <c r="B28" s="2" t="s">
        <v>983</v>
      </c>
      <c r="C28" s="2" t="s">
        <v>984</v>
      </c>
      <c r="D28" s="42">
        <v>3.8</v>
      </c>
      <c r="E28" s="42">
        <v>3.5</v>
      </c>
      <c r="F28" s="42">
        <f t="shared" si="1"/>
        <v>-0.29999999999999982</v>
      </c>
    </row>
    <row r="29" spans="1:6" ht="15" customHeight="1">
      <c r="A29" s="2" t="str">
        <f t="shared" si="0"/>
        <v>Chester</v>
      </c>
      <c r="B29" s="2" t="s">
        <v>985</v>
      </c>
      <c r="C29" s="2" t="s">
        <v>986</v>
      </c>
      <c r="D29" s="42">
        <v>3.9</v>
      </c>
      <c r="E29" s="42">
        <v>3.6</v>
      </c>
      <c r="F29" s="42">
        <f t="shared" si="1"/>
        <v>-0.29999999999999982</v>
      </c>
    </row>
    <row r="30" spans="1:6" ht="15" customHeight="1">
      <c r="A30" s="2" t="str">
        <f t="shared" si="0"/>
        <v>Clinton</v>
      </c>
      <c r="B30" s="2" t="s">
        <v>987</v>
      </c>
      <c r="C30" s="2" t="s">
        <v>988</v>
      </c>
      <c r="D30" s="42">
        <v>4.8</v>
      </c>
      <c r="E30" s="42">
        <v>4.0999999999999996</v>
      </c>
      <c r="F30" s="42">
        <f t="shared" si="1"/>
        <v>-0.70000000000000018</v>
      </c>
    </row>
    <row r="31" spans="1:6" ht="15" customHeight="1">
      <c r="A31" s="2" t="str">
        <f t="shared" si="0"/>
        <v>Colchester</v>
      </c>
      <c r="B31" s="2" t="s">
        <v>989</v>
      </c>
      <c r="C31" s="2" t="s">
        <v>990</v>
      </c>
      <c r="D31" s="42">
        <v>4.5</v>
      </c>
      <c r="E31" s="42">
        <v>4.0999999999999996</v>
      </c>
      <c r="F31" s="42">
        <f t="shared" si="1"/>
        <v>-0.40000000000000036</v>
      </c>
    </row>
    <row r="32" spans="1:6" ht="15" customHeight="1">
      <c r="A32" s="2" t="str">
        <f t="shared" si="0"/>
        <v>Colebrook</v>
      </c>
      <c r="B32" s="2" t="s">
        <v>991</v>
      </c>
      <c r="C32" s="2" t="s">
        <v>992</v>
      </c>
      <c r="D32" s="42">
        <v>4.4000000000000004</v>
      </c>
      <c r="E32" s="42">
        <v>4.5</v>
      </c>
      <c r="F32" s="42">
        <f t="shared" si="1"/>
        <v>9.9999999999999645E-2</v>
      </c>
    </row>
    <row r="33" spans="1:6" ht="15" customHeight="1">
      <c r="A33" s="2" t="str">
        <f t="shared" si="0"/>
        <v>Columbia</v>
      </c>
      <c r="B33" s="2" t="s">
        <v>993</v>
      </c>
      <c r="C33" s="2" t="s">
        <v>994</v>
      </c>
      <c r="D33" s="42">
        <v>4.8</v>
      </c>
      <c r="E33" s="42">
        <v>4.0999999999999996</v>
      </c>
      <c r="F33" s="42">
        <f t="shared" si="1"/>
        <v>-0.70000000000000018</v>
      </c>
    </row>
    <row r="34" spans="1:6" ht="15" customHeight="1">
      <c r="A34" s="2" t="str">
        <f t="shared" ref="A34:A65" si="2">SUBSTITUTE(SUBSTITUTE(SUBSTITUTE(SUBSTITUTE(B34," city/town, CT","")," town, CT","")," city, CT","")," borough, CT","")</f>
        <v>Connecticut</v>
      </c>
      <c r="B34" s="2" t="s">
        <v>252</v>
      </c>
      <c r="C34" s="2" t="s">
        <v>995</v>
      </c>
      <c r="D34" s="42">
        <v>5.7</v>
      </c>
      <c r="E34" s="42">
        <v>5.0999999999999996</v>
      </c>
      <c r="F34" s="42">
        <f t="shared" ref="F34:F65" si="3">E34-D34</f>
        <v>-0.60000000000000053</v>
      </c>
    </row>
    <row r="35" spans="1:6" ht="15" customHeight="1">
      <c r="A35" s="2" t="str">
        <f t="shared" si="2"/>
        <v>Cornwall</v>
      </c>
      <c r="B35" s="2" t="s">
        <v>996</v>
      </c>
      <c r="C35" s="2" t="s">
        <v>997</v>
      </c>
      <c r="D35" s="42">
        <v>3.4</v>
      </c>
      <c r="E35" s="42">
        <v>2.9</v>
      </c>
      <c r="F35" s="42">
        <f t="shared" si="3"/>
        <v>-0.5</v>
      </c>
    </row>
    <row r="36" spans="1:6" ht="15" customHeight="1">
      <c r="A36" s="2" t="str">
        <f t="shared" si="2"/>
        <v>Coventry</v>
      </c>
      <c r="B36" s="2" t="s">
        <v>998</v>
      </c>
      <c r="C36" s="2" t="s">
        <v>999</v>
      </c>
      <c r="D36" s="42">
        <v>4.5</v>
      </c>
      <c r="E36" s="42">
        <v>4</v>
      </c>
      <c r="F36" s="42">
        <f t="shared" si="3"/>
        <v>-0.5</v>
      </c>
    </row>
    <row r="37" spans="1:6" ht="15" customHeight="1">
      <c r="A37" s="2" t="str">
        <f t="shared" si="2"/>
        <v>Cromwell</v>
      </c>
      <c r="B37" s="2" t="s">
        <v>1000</v>
      </c>
      <c r="C37" s="2" t="s">
        <v>1001</v>
      </c>
      <c r="D37" s="42">
        <v>4.8</v>
      </c>
      <c r="E37" s="42">
        <v>4.3</v>
      </c>
      <c r="F37" s="42">
        <f t="shared" si="3"/>
        <v>-0.5</v>
      </c>
    </row>
    <row r="38" spans="1:6" ht="15" customHeight="1">
      <c r="A38" s="2" t="str">
        <f t="shared" si="2"/>
        <v>Danbury</v>
      </c>
      <c r="B38" s="2" t="s">
        <v>1002</v>
      </c>
      <c r="C38" s="2" t="s">
        <v>1003</v>
      </c>
      <c r="D38" s="42">
        <v>4.5999999999999996</v>
      </c>
      <c r="E38" s="42">
        <v>4.2</v>
      </c>
      <c r="F38" s="42">
        <f t="shared" si="3"/>
        <v>-0.39999999999999947</v>
      </c>
    </row>
    <row r="39" spans="1:6" ht="15" customHeight="1">
      <c r="A39" s="2" t="str">
        <f t="shared" si="2"/>
        <v>Danbury, CT Metropolitan NECTA</v>
      </c>
      <c r="B39" s="2" t="s">
        <v>1004</v>
      </c>
      <c r="C39" s="2" t="s">
        <v>1005</v>
      </c>
      <c r="D39" s="42">
        <v>4.5999999999999996</v>
      </c>
      <c r="E39" s="42">
        <v>4.2</v>
      </c>
      <c r="F39" s="42">
        <f t="shared" si="3"/>
        <v>-0.39999999999999947</v>
      </c>
    </row>
    <row r="40" spans="1:6" ht="15" customHeight="1">
      <c r="A40" s="2" t="str">
        <f t="shared" si="2"/>
        <v>Darien</v>
      </c>
      <c r="B40" s="2" t="s">
        <v>1006</v>
      </c>
      <c r="C40" s="2" t="s">
        <v>1007</v>
      </c>
      <c r="D40" s="42">
        <v>4.3</v>
      </c>
      <c r="E40" s="42">
        <v>4.0999999999999996</v>
      </c>
      <c r="F40" s="42">
        <f t="shared" si="3"/>
        <v>-0.20000000000000018</v>
      </c>
    </row>
    <row r="41" spans="1:6" ht="15" customHeight="1">
      <c r="A41" s="2" t="str">
        <f t="shared" si="2"/>
        <v>Deep River</v>
      </c>
      <c r="B41" s="2" t="s">
        <v>1008</v>
      </c>
      <c r="C41" s="2" t="s">
        <v>1009</v>
      </c>
      <c r="D41" s="42">
        <v>4.5999999999999996</v>
      </c>
      <c r="E41" s="42">
        <v>3.8</v>
      </c>
      <c r="F41" s="42">
        <f t="shared" si="3"/>
        <v>-0.79999999999999982</v>
      </c>
    </row>
    <row r="42" spans="1:6" ht="15" customHeight="1">
      <c r="A42" s="2" t="str">
        <f t="shared" si="2"/>
        <v>Derby</v>
      </c>
      <c r="B42" s="2" t="s">
        <v>1010</v>
      </c>
      <c r="C42" s="2" t="s">
        <v>1011</v>
      </c>
      <c r="D42" s="42">
        <v>7</v>
      </c>
      <c r="E42" s="42">
        <v>6.4</v>
      </c>
      <c r="F42" s="42">
        <f t="shared" si="3"/>
        <v>-0.59999999999999964</v>
      </c>
    </row>
    <row r="43" spans="1:6" ht="15" customHeight="1">
      <c r="A43" s="2" t="str">
        <f t="shared" si="2"/>
        <v>Durham</v>
      </c>
      <c r="B43" s="2" t="s">
        <v>1012</v>
      </c>
      <c r="C43" s="2" t="s">
        <v>1013</v>
      </c>
      <c r="D43" s="42">
        <v>3.9</v>
      </c>
      <c r="E43" s="42">
        <v>3.5</v>
      </c>
      <c r="F43" s="42">
        <f t="shared" si="3"/>
        <v>-0.39999999999999991</v>
      </c>
    </row>
    <row r="44" spans="1:6" ht="15" customHeight="1">
      <c r="A44" s="2" t="str">
        <f t="shared" si="2"/>
        <v>East Granby</v>
      </c>
      <c r="B44" s="2" t="s">
        <v>1014</v>
      </c>
      <c r="C44" s="2" t="s">
        <v>1015</v>
      </c>
      <c r="D44" s="42">
        <v>3.9</v>
      </c>
      <c r="E44" s="42">
        <v>3.9</v>
      </c>
      <c r="F44" s="42">
        <f t="shared" si="3"/>
        <v>0</v>
      </c>
    </row>
    <row r="45" spans="1:6" ht="15" customHeight="1">
      <c r="A45" s="2" t="str">
        <f t="shared" si="2"/>
        <v>East Haddam</v>
      </c>
      <c r="B45" s="2" t="s">
        <v>1016</v>
      </c>
      <c r="C45" s="2" t="s">
        <v>1017</v>
      </c>
      <c r="D45" s="42">
        <v>5</v>
      </c>
      <c r="E45" s="42">
        <v>4.5999999999999996</v>
      </c>
      <c r="F45" s="42">
        <f t="shared" si="3"/>
        <v>-0.40000000000000036</v>
      </c>
    </row>
    <row r="46" spans="1:6" ht="15" customHeight="1">
      <c r="A46" s="2" t="str">
        <f t="shared" si="2"/>
        <v>East Hampton</v>
      </c>
      <c r="B46" s="2" t="s">
        <v>1018</v>
      </c>
      <c r="C46" s="2" t="s">
        <v>1019</v>
      </c>
      <c r="D46" s="42">
        <v>4.4000000000000004</v>
      </c>
      <c r="E46" s="42">
        <v>4.2</v>
      </c>
      <c r="F46" s="42">
        <f t="shared" si="3"/>
        <v>-0.20000000000000018</v>
      </c>
    </row>
    <row r="47" spans="1:6" ht="15" customHeight="1">
      <c r="A47" s="2" t="str">
        <f t="shared" si="2"/>
        <v>East Hartford</v>
      </c>
      <c r="B47" s="2" t="s">
        <v>1020</v>
      </c>
      <c r="C47" s="2" t="s">
        <v>1021</v>
      </c>
      <c r="D47" s="42">
        <v>7.4</v>
      </c>
      <c r="E47" s="42">
        <v>6.6</v>
      </c>
      <c r="F47" s="42">
        <f t="shared" si="3"/>
        <v>-0.80000000000000071</v>
      </c>
    </row>
    <row r="48" spans="1:6" ht="15" customHeight="1">
      <c r="A48" s="2" t="str">
        <f t="shared" si="2"/>
        <v>East Haven</v>
      </c>
      <c r="B48" s="2" t="s">
        <v>1022</v>
      </c>
      <c r="C48" s="2" t="s">
        <v>1023</v>
      </c>
      <c r="D48" s="42">
        <v>6.4</v>
      </c>
      <c r="E48" s="42">
        <v>5.7</v>
      </c>
      <c r="F48" s="42">
        <f t="shared" si="3"/>
        <v>-0.70000000000000018</v>
      </c>
    </row>
    <row r="49" spans="1:6" ht="15" customHeight="1">
      <c r="A49" s="2" t="str">
        <f t="shared" si="2"/>
        <v>East Lyme</v>
      </c>
      <c r="B49" s="2" t="s">
        <v>1024</v>
      </c>
      <c r="C49" s="2" t="s">
        <v>1025</v>
      </c>
      <c r="D49" s="42">
        <v>5.2</v>
      </c>
      <c r="E49" s="42">
        <v>4.5999999999999996</v>
      </c>
      <c r="F49" s="42">
        <f t="shared" si="3"/>
        <v>-0.60000000000000053</v>
      </c>
    </row>
    <row r="50" spans="1:6" ht="15" customHeight="1">
      <c r="A50" s="2" t="str">
        <f t="shared" si="2"/>
        <v>East Windsor</v>
      </c>
      <c r="B50" s="2" t="s">
        <v>1026</v>
      </c>
      <c r="C50" s="2" t="s">
        <v>1027</v>
      </c>
      <c r="D50" s="42">
        <v>5.8</v>
      </c>
      <c r="E50" s="42">
        <v>5.4</v>
      </c>
      <c r="F50" s="42">
        <f t="shared" si="3"/>
        <v>-0.39999999999999947</v>
      </c>
    </row>
    <row r="51" spans="1:6" ht="15" customHeight="1">
      <c r="A51" s="2" t="str">
        <f t="shared" si="2"/>
        <v>Eastford</v>
      </c>
      <c r="B51" s="2" t="s">
        <v>1028</v>
      </c>
      <c r="C51" s="2" t="s">
        <v>1029</v>
      </c>
      <c r="D51" s="42">
        <v>3.9</v>
      </c>
      <c r="E51" s="42">
        <v>3.6</v>
      </c>
      <c r="F51" s="42">
        <f t="shared" si="3"/>
        <v>-0.29999999999999982</v>
      </c>
    </row>
    <row r="52" spans="1:6" ht="15" customHeight="1">
      <c r="A52" s="2" t="str">
        <f t="shared" si="2"/>
        <v>Easton</v>
      </c>
      <c r="B52" s="2" t="s">
        <v>1030</v>
      </c>
      <c r="C52" s="2" t="s">
        <v>1031</v>
      </c>
      <c r="D52" s="42">
        <v>4</v>
      </c>
      <c r="E52" s="42">
        <v>3.6</v>
      </c>
      <c r="F52" s="42">
        <f t="shared" si="3"/>
        <v>-0.39999999999999991</v>
      </c>
    </row>
    <row r="53" spans="1:6" ht="15" customHeight="1">
      <c r="A53" s="2" t="str">
        <f t="shared" si="2"/>
        <v>Ellington</v>
      </c>
      <c r="B53" s="2" t="s">
        <v>1032</v>
      </c>
      <c r="C53" s="2" t="s">
        <v>1033</v>
      </c>
      <c r="D53" s="42">
        <v>4.8</v>
      </c>
      <c r="E53" s="42">
        <v>4.2</v>
      </c>
      <c r="F53" s="42">
        <f t="shared" si="3"/>
        <v>-0.59999999999999964</v>
      </c>
    </row>
    <row r="54" spans="1:6" ht="15" customHeight="1">
      <c r="A54" s="2" t="str">
        <f t="shared" si="2"/>
        <v>Enfield</v>
      </c>
      <c r="B54" s="2" t="s">
        <v>1034</v>
      </c>
      <c r="C54" s="2" t="s">
        <v>1035</v>
      </c>
      <c r="D54" s="42">
        <v>5.6</v>
      </c>
      <c r="E54" s="42">
        <v>5.5</v>
      </c>
      <c r="F54" s="42">
        <f t="shared" si="3"/>
        <v>-9.9999999999999645E-2</v>
      </c>
    </row>
    <row r="55" spans="1:6" ht="15" customHeight="1">
      <c r="A55" s="2" t="str">
        <f t="shared" si="2"/>
        <v>Essex</v>
      </c>
      <c r="B55" s="2" t="s">
        <v>1036</v>
      </c>
      <c r="C55" s="2" t="s">
        <v>1037</v>
      </c>
      <c r="D55" s="42">
        <v>4.8</v>
      </c>
      <c r="E55" s="42">
        <v>4</v>
      </c>
      <c r="F55" s="42">
        <f t="shared" si="3"/>
        <v>-0.79999999999999982</v>
      </c>
    </row>
    <row r="56" spans="1:6" ht="15" customHeight="1">
      <c r="A56" s="2" t="str">
        <f t="shared" si="2"/>
        <v>Fairfield County, CT</v>
      </c>
      <c r="B56" s="2" t="s">
        <v>1038</v>
      </c>
      <c r="C56" s="2" t="s">
        <v>1039</v>
      </c>
      <c r="D56" s="42">
        <v>5.4</v>
      </c>
      <c r="E56" s="42">
        <v>4.8</v>
      </c>
      <c r="F56" s="42">
        <f t="shared" si="3"/>
        <v>-0.60000000000000053</v>
      </c>
    </row>
    <row r="57" spans="1:6" ht="15" customHeight="1">
      <c r="A57" s="2" t="str">
        <f t="shared" si="2"/>
        <v>Fairfield</v>
      </c>
      <c r="B57" s="2" t="s">
        <v>1040</v>
      </c>
      <c r="C57" s="2" t="s">
        <v>1041</v>
      </c>
      <c r="D57" s="42">
        <v>4.7</v>
      </c>
      <c r="E57" s="42">
        <v>4.3</v>
      </c>
      <c r="F57" s="42">
        <f t="shared" si="3"/>
        <v>-0.40000000000000036</v>
      </c>
    </row>
    <row r="58" spans="1:6" ht="15" customHeight="1">
      <c r="A58" s="2" t="str">
        <f t="shared" si="2"/>
        <v>Farmington</v>
      </c>
      <c r="B58" s="2" t="s">
        <v>1042</v>
      </c>
      <c r="C58" s="2" t="s">
        <v>1043</v>
      </c>
      <c r="D58" s="42">
        <v>3.9</v>
      </c>
      <c r="E58" s="42">
        <v>3.6</v>
      </c>
      <c r="F58" s="42">
        <f t="shared" si="3"/>
        <v>-0.29999999999999982</v>
      </c>
    </row>
    <row r="59" spans="1:6" ht="15" customHeight="1">
      <c r="A59" s="2" t="str">
        <f t="shared" si="2"/>
        <v>Franklin</v>
      </c>
      <c r="B59" s="2" t="s">
        <v>1044</v>
      </c>
      <c r="C59" s="2" t="s">
        <v>1045</v>
      </c>
      <c r="D59" s="42">
        <v>5.4</v>
      </c>
      <c r="E59" s="42">
        <v>4.4000000000000004</v>
      </c>
      <c r="F59" s="42">
        <f t="shared" si="3"/>
        <v>-1</v>
      </c>
    </row>
    <row r="60" spans="1:6" ht="15" customHeight="1">
      <c r="A60" s="2" t="str">
        <f t="shared" si="2"/>
        <v>Glastonbury</v>
      </c>
      <c r="B60" s="2" t="s">
        <v>1046</v>
      </c>
      <c r="C60" s="2" t="s">
        <v>1047</v>
      </c>
      <c r="D60" s="42">
        <v>3.8</v>
      </c>
      <c r="E60" s="42">
        <v>3.5</v>
      </c>
      <c r="F60" s="42">
        <f t="shared" si="3"/>
        <v>-0.29999999999999982</v>
      </c>
    </row>
    <row r="61" spans="1:6" ht="15" customHeight="1">
      <c r="A61" s="2" t="str">
        <f t="shared" si="2"/>
        <v>Goshen</v>
      </c>
      <c r="B61" s="2" t="s">
        <v>1048</v>
      </c>
      <c r="C61" s="2" t="s">
        <v>1049</v>
      </c>
      <c r="D61" s="42">
        <v>4.5999999999999996</v>
      </c>
      <c r="E61" s="42">
        <v>4.2</v>
      </c>
      <c r="F61" s="42">
        <f t="shared" si="3"/>
        <v>-0.39999999999999947</v>
      </c>
    </row>
    <row r="62" spans="1:6" ht="15" customHeight="1">
      <c r="A62" s="2" t="str">
        <f t="shared" si="2"/>
        <v>Granby</v>
      </c>
      <c r="B62" s="2" t="s">
        <v>1050</v>
      </c>
      <c r="C62" s="2" t="s">
        <v>1051</v>
      </c>
      <c r="D62" s="42">
        <v>4</v>
      </c>
      <c r="E62" s="42">
        <v>3.6</v>
      </c>
      <c r="F62" s="42">
        <f t="shared" si="3"/>
        <v>-0.39999999999999991</v>
      </c>
    </row>
    <row r="63" spans="1:6" ht="15" customHeight="1">
      <c r="A63" s="2" t="str">
        <f t="shared" si="2"/>
        <v>Greenwich</v>
      </c>
      <c r="B63" s="2" t="s">
        <v>1052</v>
      </c>
      <c r="C63" s="2" t="s">
        <v>1053</v>
      </c>
      <c r="D63" s="42">
        <v>4.0999999999999996</v>
      </c>
      <c r="E63" s="42">
        <v>3.8</v>
      </c>
      <c r="F63" s="42">
        <f t="shared" si="3"/>
        <v>-0.29999999999999982</v>
      </c>
    </row>
    <row r="64" spans="1:6" ht="15" customHeight="1">
      <c r="A64" s="2" t="str">
        <f t="shared" si="2"/>
        <v>Griswold</v>
      </c>
      <c r="B64" s="2" t="s">
        <v>1054</v>
      </c>
      <c r="C64" s="2" t="s">
        <v>1055</v>
      </c>
      <c r="D64" s="42">
        <v>7</v>
      </c>
      <c r="E64" s="42">
        <v>6.2</v>
      </c>
      <c r="F64" s="42">
        <f t="shared" si="3"/>
        <v>-0.79999999999999982</v>
      </c>
    </row>
    <row r="65" spans="1:6" ht="15" customHeight="1">
      <c r="A65" s="2" t="str">
        <f t="shared" si="2"/>
        <v>Groton</v>
      </c>
      <c r="B65" s="2" t="s">
        <v>1056</v>
      </c>
      <c r="C65" s="2" t="s">
        <v>1057</v>
      </c>
      <c r="D65" s="42">
        <v>5.3</v>
      </c>
      <c r="E65" s="42">
        <v>4.5</v>
      </c>
      <c r="F65" s="42">
        <f t="shared" si="3"/>
        <v>-0.79999999999999982</v>
      </c>
    </row>
    <row r="66" spans="1:6" ht="15" customHeight="1">
      <c r="A66" s="2" t="str">
        <f t="shared" ref="A66:A97" si="4">SUBSTITUTE(SUBSTITUTE(SUBSTITUTE(SUBSTITUTE(B66," city/town, CT","")," town, CT","")," city, CT","")," borough, CT","")</f>
        <v>Guilford</v>
      </c>
      <c r="B66" s="2" t="s">
        <v>1058</v>
      </c>
      <c r="C66" s="2" t="s">
        <v>1059</v>
      </c>
      <c r="D66" s="42">
        <v>3.9</v>
      </c>
      <c r="E66" s="42">
        <v>3.4</v>
      </c>
      <c r="F66" s="42">
        <f t="shared" ref="F66:F97" si="5">E66-D66</f>
        <v>-0.5</v>
      </c>
    </row>
    <row r="67" spans="1:6" ht="15" customHeight="1">
      <c r="A67" s="2" t="str">
        <f t="shared" si="4"/>
        <v>Haddam</v>
      </c>
      <c r="B67" s="2" t="s">
        <v>1060</v>
      </c>
      <c r="C67" s="2" t="s">
        <v>1061</v>
      </c>
      <c r="D67" s="42">
        <v>4.0999999999999996</v>
      </c>
      <c r="E67" s="42">
        <v>3.5</v>
      </c>
      <c r="F67" s="42">
        <f t="shared" si="5"/>
        <v>-0.59999999999999964</v>
      </c>
    </row>
    <row r="68" spans="1:6" ht="15" customHeight="1">
      <c r="A68" s="2" t="str">
        <f t="shared" si="4"/>
        <v>Hamden</v>
      </c>
      <c r="B68" s="2" t="s">
        <v>1062</v>
      </c>
      <c r="C68" s="2" t="s">
        <v>1063</v>
      </c>
      <c r="D68" s="42">
        <v>5.0999999999999996</v>
      </c>
      <c r="E68" s="42">
        <v>4.5999999999999996</v>
      </c>
      <c r="F68" s="42">
        <f t="shared" si="5"/>
        <v>-0.5</v>
      </c>
    </row>
    <row r="69" spans="1:6" ht="15" customHeight="1">
      <c r="A69" s="2" t="str">
        <f t="shared" si="4"/>
        <v>Hampton</v>
      </c>
      <c r="B69" s="2" t="s">
        <v>1064</v>
      </c>
      <c r="C69" s="2" t="s">
        <v>1065</v>
      </c>
      <c r="D69" s="42">
        <v>5.3</v>
      </c>
      <c r="E69" s="42">
        <v>5</v>
      </c>
      <c r="F69" s="42">
        <f t="shared" si="5"/>
        <v>-0.29999999999999982</v>
      </c>
    </row>
    <row r="70" spans="1:6" ht="15" customHeight="1">
      <c r="A70" s="2" t="str">
        <f t="shared" si="4"/>
        <v>Hampton, CT LMA</v>
      </c>
      <c r="B70" s="2" t="s">
        <v>1066</v>
      </c>
      <c r="C70" s="2" t="s">
        <v>1067</v>
      </c>
      <c r="D70" s="42">
        <v>4.5999999999999996</v>
      </c>
      <c r="E70" s="42">
        <v>4.3</v>
      </c>
      <c r="F70" s="42">
        <f t="shared" si="5"/>
        <v>-0.29999999999999982</v>
      </c>
    </row>
    <row r="71" spans="1:6" ht="15" customHeight="1">
      <c r="A71" s="2" t="str">
        <f t="shared" si="4"/>
        <v>Hartford</v>
      </c>
      <c r="B71" s="2" t="s">
        <v>1068</v>
      </c>
      <c r="C71" s="2" t="s">
        <v>1069</v>
      </c>
      <c r="D71" s="42">
        <v>10.6</v>
      </c>
      <c r="E71" s="42">
        <v>9.4</v>
      </c>
      <c r="F71" s="42">
        <f t="shared" si="5"/>
        <v>-1.1999999999999993</v>
      </c>
    </row>
    <row r="72" spans="1:6" ht="15" customHeight="1">
      <c r="A72" s="2" t="str">
        <f t="shared" si="4"/>
        <v>Hartford County, CT</v>
      </c>
      <c r="B72" s="2" t="s">
        <v>1070</v>
      </c>
      <c r="C72" s="2" t="s">
        <v>1071</v>
      </c>
      <c r="D72" s="42">
        <v>5.9</v>
      </c>
      <c r="E72" s="42">
        <v>5.3</v>
      </c>
      <c r="F72" s="42">
        <f t="shared" si="5"/>
        <v>-0.60000000000000053</v>
      </c>
    </row>
    <row r="73" spans="1:6" ht="15" customHeight="1">
      <c r="A73" s="2" t="str">
        <f t="shared" si="4"/>
        <v>Hartford-West Hartford-East Hartford, CT Metropolitan NECTA</v>
      </c>
      <c r="B73" s="2" t="s">
        <v>1072</v>
      </c>
      <c r="C73" s="2" t="s">
        <v>1073</v>
      </c>
      <c r="D73" s="42">
        <v>5.7</v>
      </c>
      <c r="E73" s="42">
        <v>5.0999999999999996</v>
      </c>
      <c r="F73" s="42">
        <f t="shared" si="5"/>
        <v>-0.60000000000000053</v>
      </c>
    </row>
    <row r="74" spans="1:6" ht="15" customHeight="1">
      <c r="A74" s="2" t="str">
        <f t="shared" si="4"/>
        <v>Hartland</v>
      </c>
      <c r="B74" s="2" t="s">
        <v>1074</v>
      </c>
      <c r="C74" s="2" t="s">
        <v>1075</v>
      </c>
      <c r="D74" s="42">
        <v>4.7</v>
      </c>
      <c r="E74" s="42">
        <v>4</v>
      </c>
      <c r="F74" s="42">
        <f t="shared" si="5"/>
        <v>-0.70000000000000018</v>
      </c>
    </row>
    <row r="75" spans="1:6" ht="15" customHeight="1">
      <c r="A75" s="2" t="str">
        <f t="shared" si="4"/>
        <v>Harwinton</v>
      </c>
      <c r="B75" s="2" t="s">
        <v>1076</v>
      </c>
      <c r="C75" s="2" t="s">
        <v>1077</v>
      </c>
      <c r="D75" s="42">
        <v>4.3</v>
      </c>
      <c r="E75" s="42">
        <v>4.0999999999999996</v>
      </c>
      <c r="F75" s="42">
        <f t="shared" si="5"/>
        <v>-0.20000000000000018</v>
      </c>
    </row>
    <row r="76" spans="1:6" ht="15" customHeight="1">
      <c r="A76" s="2" t="str">
        <f t="shared" si="4"/>
        <v>Hebron</v>
      </c>
      <c r="B76" s="2" t="s">
        <v>1078</v>
      </c>
      <c r="C76" s="2" t="s">
        <v>1079</v>
      </c>
      <c r="D76" s="42">
        <v>4</v>
      </c>
      <c r="E76" s="42">
        <v>3.5</v>
      </c>
      <c r="F76" s="42">
        <f t="shared" si="5"/>
        <v>-0.5</v>
      </c>
    </row>
    <row r="77" spans="1:6" ht="15" customHeight="1">
      <c r="A77" s="2" t="str">
        <f t="shared" si="4"/>
        <v>Kent</v>
      </c>
      <c r="B77" s="2" t="s">
        <v>1080</v>
      </c>
      <c r="C77" s="2" t="s">
        <v>1081</v>
      </c>
      <c r="D77" s="42">
        <v>4.2</v>
      </c>
      <c r="E77" s="42">
        <v>3.9</v>
      </c>
      <c r="F77" s="42">
        <f t="shared" si="5"/>
        <v>-0.30000000000000027</v>
      </c>
    </row>
    <row r="78" spans="1:6" ht="15" customHeight="1">
      <c r="A78" s="2" t="str">
        <f t="shared" si="4"/>
        <v>Killingly</v>
      </c>
      <c r="B78" s="2" t="s">
        <v>1082</v>
      </c>
      <c r="C78" s="2" t="s">
        <v>1083</v>
      </c>
      <c r="D78" s="42">
        <v>7</v>
      </c>
      <c r="E78" s="42">
        <v>6</v>
      </c>
      <c r="F78" s="42">
        <f t="shared" si="5"/>
        <v>-1</v>
      </c>
    </row>
    <row r="79" spans="1:6" ht="15" customHeight="1">
      <c r="A79" s="2" t="str">
        <f t="shared" si="4"/>
        <v>Killingworth</v>
      </c>
      <c r="B79" s="2" t="s">
        <v>1084</v>
      </c>
      <c r="C79" s="2" t="s">
        <v>1085</v>
      </c>
      <c r="D79" s="42">
        <v>3.9</v>
      </c>
      <c r="E79" s="42">
        <v>3.4</v>
      </c>
      <c r="F79" s="42">
        <f t="shared" si="5"/>
        <v>-0.5</v>
      </c>
    </row>
    <row r="80" spans="1:6" ht="15" customHeight="1">
      <c r="A80" s="2" t="str">
        <f t="shared" si="4"/>
        <v>Lebanon</v>
      </c>
      <c r="B80" s="2" t="s">
        <v>1086</v>
      </c>
      <c r="C80" s="2" t="s">
        <v>1087</v>
      </c>
      <c r="D80" s="42">
        <v>4.9000000000000004</v>
      </c>
      <c r="E80" s="42">
        <v>4.5</v>
      </c>
      <c r="F80" s="42">
        <f t="shared" si="5"/>
        <v>-0.40000000000000036</v>
      </c>
    </row>
    <row r="81" spans="1:6" ht="15" customHeight="1">
      <c r="A81" s="2" t="str">
        <f t="shared" si="4"/>
        <v>Ledyard</v>
      </c>
      <c r="B81" s="2" t="s">
        <v>1088</v>
      </c>
      <c r="C81" s="2" t="s">
        <v>1089</v>
      </c>
      <c r="D81" s="42">
        <v>5</v>
      </c>
      <c r="E81" s="42">
        <v>4.2</v>
      </c>
      <c r="F81" s="42">
        <f t="shared" si="5"/>
        <v>-0.79999999999999982</v>
      </c>
    </row>
    <row r="82" spans="1:6" ht="15" customHeight="1">
      <c r="A82" s="2" t="str">
        <f t="shared" si="4"/>
        <v>Lisbon</v>
      </c>
      <c r="B82" s="2" t="s">
        <v>1090</v>
      </c>
      <c r="C82" s="2" t="s">
        <v>1091</v>
      </c>
      <c r="D82" s="42">
        <v>6.1</v>
      </c>
      <c r="E82" s="42">
        <v>5.5</v>
      </c>
      <c r="F82" s="42">
        <f t="shared" si="5"/>
        <v>-0.59999999999999964</v>
      </c>
    </row>
    <row r="83" spans="1:6" ht="15" customHeight="1">
      <c r="A83" s="2" t="str">
        <f t="shared" si="4"/>
        <v>Litchfield County, CT</v>
      </c>
      <c r="B83" s="2" t="s">
        <v>1092</v>
      </c>
      <c r="C83" s="2" t="s">
        <v>1093</v>
      </c>
      <c r="D83" s="42">
        <v>5.0999999999999996</v>
      </c>
      <c r="E83" s="42">
        <v>4.5999999999999996</v>
      </c>
      <c r="F83" s="42">
        <f t="shared" si="5"/>
        <v>-0.5</v>
      </c>
    </row>
    <row r="84" spans="1:6" ht="15" customHeight="1">
      <c r="A84" s="2" t="str">
        <f t="shared" si="4"/>
        <v>Litchfield</v>
      </c>
      <c r="B84" s="2" t="s">
        <v>1094</v>
      </c>
      <c r="C84" s="2" t="s">
        <v>1095</v>
      </c>
      <c r="D84" s="42">
        <v>4.2</v>
      </c>
      <c r="E84" s="42">
        <v>4</v>
      </c>
      <c r="F84" s="42">
        <f t="shared" si="5"/>
        <v>-0.20000000000000018</v>
      </c>
    </row>
    <row r="85" spans="1:6" ht="15" customHeight="1">
      <c r="A85" s="2" t="str">
        <f t="shared" si="4"/>
        <v>Litchfield, CT LMA</v>
      </c>
      <c r="B85" s="2" t="s">
        <v>1096</v>
      </c>
      <c r="C85" s="2" t="s">
        <v>1097</v>
      </c>
      <c r="D85" s="42">
        <v>4.0999999999999996</v>
      </c>
      <c r="E85" s="42">
        <v>3.7</v>
      </c>
      <c r="F85" s="42">
        <f t="shared" si="5"/>
        <v>-0.39999999999999947</v>
      </c>
    </row>
    <row r="86" spans="1:6" ht="15" customHeight="1">
      <c r="A86" s="2" t="str">
        <f t="shared" si="4"/>
        <v>Lyme</v>
      </c>
      <c r="B86" s="2" t="s">
        <v>1098</v>
      </c>
      <c r="C86" s="2" t="s">
        <v>1099</v>
      </c>
      <c r="D86" s="42">
        <v>4.0999999999999996</v>
      </c>
      <c r="E86" s="42">
        <v>3.4</v>
      </c>
      <c r="F86" s="42">
        <f t="shared" si="5"/>
        <v>-0.69999999999999973</v>
      </c>
    </row>
    <row r="87" spans="1:6" ht="15" customHeight="1">
      <c r="A87" s="2" t="str">
        <f t="shared" si="4"/>
        <v>Madison</v>
      </c>
      <c r="B87" s="2" t="s">
        <v>1100</v>
      </c>
      <c r="C87" s="2" t="s">
        <v>1101</v>
      </c>
      <c r="D87" s="42">
        <v>4.0999999999999996</v>
      </c>
      <c r="E87" s="42">
        <v>3.7</v>
      </c>
      <c r="F87" s="42">
        <f t="shared" si="5"/>
        <v>-0.39999999999999947</v>
      </c>
    </row>
    <row r="88" spans="1:6" ht="15" customHeight="1">
      <c r="A88" s="2" t="str">
        <f t="shared" si="4"/>
        <v>Manchester</v>
      </c>
      <c r="B88" s="2" t="s">
        <v>1102</v>
      </c>
      <c r="C88" s="2" t="s">
        <v>1103</v>
      </c>
      <c r="D88" s="42">
        <v>5.6</v>
      </c>
      <c r="E88" s="42">
        <v>5</v>
      </c>
      <c r="F88" s="42">
        <f t="shared" si="5"/>
        <v>-0.59999999999999964</v>
      </c>
    </row>
    <row r="89" spans="1:6" ht="15" customHeight="1">
      <c r="A89" s="2" t="str">
        <f t="shared" si="4"/>
        <v>Mansfield</v>
      </c>
      <c r="B89" s="2" t="s">
        <v>1104</v>
      </c>
      <c r="C89" s="2" t="s">
        <v>1105</v>
      </c>
      <c r="D89" s="42">
        <v>5.2</v>
      </c>
      <c r="E89" s="42">
        <v>4.8</v>
      </c>
      <c r="F89" s="42">
        <f t="shared" si="5"/>
        <v>-0.40000000000000036</v>
      </c>
    </row>
    <row r="90" spans="1:6" ht="15" customHeight="1">
      <c r="A90" s="2" t="str">
        <f t="shared" si="4"/>
        <v>Marlborough</v>
      </c>
      <c r="B90" s="2" t="s">
        <v>1106</v>
      </c>
      <c r="C90" s="2" t="s">
        <v>1107</v>
      </c>
      <c r="D90" s="42">
        <v>4.5</v>
      </c>
      <c r="E90" s="42">
        <v>3.8</v>
      </c>
      <c r="F90" s="42">
        <f t="shared" si="5"/>
        <v>-0.70000000000000018</v>
      </c>
    </row>
    <row r="91" spans="1:6" ht="15" customHeight="1">
      <c r="A91" s="2" t="str">
        <f t="shared" si="4"/>
        <v>Meriden</v>
      </c>
      <c r="B91" s="2" t="s">
        <v>1108</v>
      </c>
      <c r="C91" s="2" t="s">
        <v>1109</v>
      </c>
      <c r="D91" s="42">
        <v>7.2</v>
      </c>
      <c r="E91" s="42">
        <v>6.2</v>
      </c>
      <c r="F91" s="42">
        <f t="shared" si="5"/>
        <v>-1</v>
      </c>
    </row>
    <row r="92" spans="1:6" ht="15" customHeight="1">
      <c r="A92" s="2" t="str">
        <f t="shared" si="4"/>
        <v>Middlebury</v>
      </c>
      <c r="B92" s="2" t="s">
        <v>1110</v>
      </c>
      <c r="C92" s="2" t="s">
        <v>1111</v>
      </c>
      <c r="D92" s="42">
        <v>4.4000000000000004</v>
      </c>
      <c r="E92" s="42">
        <v>3.9</v>
      </c>
      <c r="F92" s="42">
        <f t="shared" si="5"/>
        <v>-0.50000000000000044</v>
      </c>
    </row>
    <row r="93" spans="1:6" ht="15" customHeight="1">
      <c r="A93" s="2" t="str">
        <f t="shared" si="4"/>
        <v>Middlefield</v>
      </c>
      <c r="B93" s="2" t="s">
        <v>1112</v>
      </c>
      <c r="C93" s="2" t="s">
        <v>1113</v>
      </c>
      <c r="D93" s="42">
        <v>4.5</v>
      </c>
      <c r="E93" s="42">
        <v>4.4000000000000004</v>
      </c>
      <c r="F93" s="42">
        <f t="shared" si="5"/>
        <v>-9.9999999999999645E-2</v>
      </c>
    </row>
    <row r="94" spans="1:6" ht="15" customHeight="1">
      <c r="A94" s="2" t="str">
        <f t="shared" si="4"/>
        <v>Middlesex County, CT</v>
      </c>
      <c r="B94" s="2" t="s">
        <v>1114</v>
      </c>
      <c r="C94" s="2" t="s">
        <v>1115</v>
      </c>
      <c r="D94" s="42">
        <v>4.9000000000000004</v>
      </c>
      <c r="E94" s="42">
        <v>4.4000000000000004</v>
      </c>
      <c r="F94" s="42">
        <f t="shared" si="5"/>
        <v>-0.5</v>
      </c>
    </row>
    <row r="95" spans="1:6" ht="15" customHeight="1">
      <c r="A95" s="2" t="str">
        <f t="shared" si="4"/>
        <v>Middletown</v>
      </c>
      <c r="B95" s="2" t="s">
        <v>1116</v>
      </c>
      <c r="C95" s="2" t="s">
        <v>1117</v>
      </c>
      <c r="D95" s="42">
        <v>5.7</v>
      </c>
      <c r="E95" s="42">
        <v>5.0999999999999996</v>
      </c>
      <c r="F95" s="42">
        <f t="shared" si="5"/>
        <v>-0.60000000000000053</v>
      </c>
    </row>
    <row r="96" spans="1:6" ht="15" customHeight="1">
      <c r="A96" s="129" t="s">
        <v>18</v>
      </c>
      <c r="B96" s="2" t="s">
        <v>1118</v>
      </c>
      <c r="C96" s="2" t="s">
        <v>1119</v>
      </c>
      <c r="D96" s="42">
        <v>5</v>
      </c>
      <c r="E96" s="42">
        <v>4.5</v>
      </c>
      <c r="F96" s="42">
        <f t="shared" si="5"/>
        <v>-0.5</v>
      </c>
    </row>
    <row r="97" spans="1:6" ht="15" customHeight="1">
      <c r="A97" s="2" t="str">
        <f>SUBSTITUTE(SUBSTITUTE(SUBSTITUTE(SUBSTITUTE(B97," city/town, CT","")," town, CT","")," city, CT","")," borough, CT","")</f>
        <v>Monroe</v>
      </c>
      <c r="B97" s="2" t="s">
        <v>1120</v>
      </c>
      <c r="C97" s="2" t="s">
        <v>1121</v>
      </c>
      <c r="D97" s="42">
        <v>5.0999999999999996</v>
      </c>
      <c r="E97" s="42">
        <v>4.5</v>
      </c>
      <c r="F97" s="42">
        <f t="shared" si="5"/>
        <v>-0.59999999999999964</v>
      </c>
    </row>
    <row r="98" spans="1:6" ht="15" customHeight="1">
      <c r="A98" s="2" t="str">
        <f>SUBSTITUTE(SUBSTITUTE(SUBSTITUTE(SUBSTITUTE(B98," city/town, CT","")," town, CT","")," city, CT","")," borough, CT","")</f>
        <v>Montville</v>
      </c>
      <c r="B98" s="2" t="s">
        <v>1122</v>
      </c>
      <c r="C98" s="2" t="s">
        <v>1123</v>
      </c>
      <c r="D98" s="42">
        <v>6.3</v>
      </c>
      <c r="E98" s="42">
        <v>5.0999999999999996</v>
      </c>
      <c r="F98" s="42">
        <f t="shared" ref="F98:F129" si="6">E98-D98</f>
        <v>-1.2000000000000002</v>
      </c>
    </row>
    <row r="99" spans="1:6" ht="15" customHeight="1">
      <c r="A99" s="2" t="str">
        <f>SUBSTITUTE(SUBSTITUTE(SUBSTITUTE(SUBSTITUTE(B99," city/town, CT","")," town, CT","")," city, CT","")," borough, CT","")</f>
        <v>Morris</v>
      </c>
      <c r="B99" s="2" t="s">
        <v>1124</v>
      </c>
      <c r="C99" s="2" t="s">
        <v>1125</v>
      </c>
      <c r="D99" s="42">
        <v>4.5</v>
      </c>
      <c r="E99" s="42">
        <v>3.9</v>
      </c>
      <c r="F99" s="42">
        <f t="shared" si="6"/>
        <v>-0.60000000000000009</v>
      </c>
    </row>
    <row r="100" spans="1:6" ht="15" customHeight="1">
      <c r="A100" s="129" t="s">
        <v>10</v>
      </c>
      <c r="B100" s="2" t="s">
        <v>1126</v>
      </c>
      <c r="C100" s="2" t="s">
        <v>1127</v>
      </c>
      <c r="D100" s="42">
        <v>6.6</v>
      </c>
      <c r="E100" s="42">
        <v>5.8</v>
      </c>
      <c r="F100" s="42">
        <f t="shared" si="6"/>
        <v>-0.79999999999999982</v>
      </c>
    </row>
    <row r="101" spans="1:6" ht="15" customHeight="1">
      <c r="A101" s="2" t="str">
        <f t="shared" ref="A101:A132" si="7">SUBSTITUTE(SUBSTITUTE(SUBSTITUTE(SUBSTITUTE(B101," city/town, CT","")," town, CT","")," city, CT","")," borough, CT","")</f>
        <v>New Britain</v>
      </c>
      <c r="B101" s="2" t="s">
        <v>1128</v>
      </c>
      <c r="C101" s="2" t="s">
        <v>1129</v>
      </c>
      <c r="D101" s="42">
        <v>8.1999999999999993</v>
      </c>
      <c r="E101" s="42">
        <v>7.2</v>
      </c>
      <c r="F101" s="42">
        <f t="shared" si="6"/>
        <v>-0.99999999999999911</v>
      </c>
    </row>
    <row r="102" spans="1:6" ht="15" customHeight="1">
      <c r="A102" s="2" t="str">
        <f t="shared" si="7"/>
        <v>New Canaan</v>
      </c>
      <c r="B102" s="2" t="s">
        <v>1130</v>
      </c>
      <c r="C102" s="2" t="s">
        <v>1131</v>
      </c>
      <c r="D102" s="42">
        <v>4.3</v>
      </c>
      <c r="E102" s="42">
        <v>3.8</v>
      </c>
      <c r="F102" s="42">
        <f t="shared" si="6"/>
        <v>-0.5</v>
      </c>
    </row>
    <row r="103" spans="1:6" ht="15" customHeight="1">
      <c r="A103" s="2" t="str">
        <f t="shared" si="7"/>
        <v>New Fairfield</v>
      </c>
      <c r="B103" s="2" t="s">
        <v>1132</v>
      </c>
      <c r="C103" s="2" t="s">
        <v>1133</v>
      </c>
      <c r="D103" s="42">
        <v>4.7</v>
      </c>
      <c r="E103" s="42">
        <v>4.3</v>
      </c>
      <c r="F103" s="42">
        <f t="shared" si="6"/>
        <v>-0.40000000000000036</v>
      </c>
    </row>
    <row r="104" spans="1:6" ht="15" customHeight="1">
      <c r="A104" s="2" t="str">
        <f t="shared" si="7"/>
        <v>New Hartford</v>
      </c>
      <c r="B104" s="2" t="s">
        <v>1134</v>
      </c>
      <c r="C104" s="2" t="s">
        <v>1135</v>
      </c>
      <c r="D104" s="42">
        <v>4.7</v>
      </c>
      <c r="E104" s="42">
        <v>4.3</v>
      </c>
      <c r="F104" s="42">
        <f t="shared" si="6"/>
        <v>-0.40000000000000036</v>
      </c>
    </row>
    <row r="105" spans="1:6" ht="15" customHeight="1">
      <c r="A105" s="2" t="str">
        <f t="shared" si="7"/>
        <v>New Haven</v>
      </c>
      <c r="B105" s="2" t="s">
        <v>1136</v>
      </c>
      <c r="C105" s="2" t="s">
        <v>1137</v>
      </c>
      <c r="D105" s="42">
        <v>7.6</v>
      </c>
      <c r="E105" s="42">
        <v>6.6</v>
      </c>
      <c r="F105" s="42">
        <f t="shared" si="6"/>
        <v>-1</v>
      </c>
    </row>
    <row r="106" spans="1:6" ht="15" customHeight="1">
      <c r="A106" s="2" t="str">
        <f t="shared" si="7"/>
        <v>New Haven County, CT</v>
      </c>
      <c r="B106" s="2" t="s">
        <v>1138</v>
      </c>
      <c r="C106" s="2" t="s">
        <v>1139</v>
      </c>
      <c r="D106" s="42">
        <v>6.2</v>
      </c>
      <c r="E106" s="42">
        <v>5.5</v>
      </c>
      <c r="F106" s="42">
        <f t="shared" si="6"/>
        <v>-0.70000000000000018</v>
      </c>
    </row>
    <row r="107" spans="1:6" ht="15" customHeight="1">
      <c r="A107" s="2" t="str">
        <f t="shared" si="7"/>
        <v>New Haven, CT Metropolitan NECTA</v>
      </c>
      <c r="B107" s="2" t="s">
        <v>1140</v>
      </c>
      <c r="C107" s="2" t="s">
        <v>1141</v>
      </c>
      <c r="D107" s="42">
        <v>5.8</v>
      </c>
      <c r="E107" s="42">
        <v>5.0999999999999996</v>
      </c>
      <c r="F107" s="42">
        <f t="shared" si="6"/>
        <v>-0.70000000000000018</v>
      </c>
    </row>
    <row r="108" spans="1:6" ht="15" customHeight="1">
      <c r="A108" s="2" t="str">
        <f t="shared" si="7"/>
        <v>New London</v>
      </c>
      <c r="B108" s="2" t="s">
        <v>1142</v>
      </c>
      <c r="C108" s="2" t="s">
        <v>1143</v>
      </c>
      <c r="D108" s="42">
        <v>8.4</v>
      </c>
      <c r="E108" s="42">
        <v>7.2</v>
      </c>
      <c r="F108" s="42">
        <f t="shared" si="6"/>
        <v>-1.2000000000000002</v>
      </c>
    </row>
    <row r="109" spans="1:6" ht="15" customHeight="1">
      <c r="A109" s="2" t="str">
        <f t="shared" si="7"/>
        <v>New London County, CT</v>
      </c>
      <c r="B109" s="2" t="s">
        <v>1144</v>
      </c>
      <c r="C109" s="2" t="s">
        <v>1145</v>
      </c>
      <c r="D109" s="42">
        <v>5.9</v>
      </c>
      <c r="E109" s="42">
        <v>5</v>
      </c>
      <c r="F109" s="42">
        <f t="shared" si="6"/>
        <v>-0.90000000000000036</v>
      </c>
    </row>
    <row r="110" spans="1:6" ht="15" customHeight="1">
      <c r="A110" s="2" t="str">
        <f t="shared" si="7"/>
        <v>New Milford</v>
      </c>
      <c r="B110" s="2" t="s">
        <v>1146</v>
      </c>
      <c r="C110" s="2" t="s">
        <v>1147</v>
      </c>
      <c r="D110" s="42">
        <v>4.8</v>
      </c>
      <c r="E110" s="42">
        <v>4.3</v>
      </c>
      <c r="F110" s="42">
        <f t="shared" si="6"/>
        <v>-0.5</v>
      </c>
    </row>
    <row r="111" spans="1:6" ht="15" customHeight="1">
      <c r="A111" s="2" t="str">
        <f t="shared" si="7"/>
        <v>Newington</v>
      </c>
      <c r="B111" s="2" t="s">
        <v>1148</v>
      </c>
      <c r="C111" s="2" t="s">
        <v>1149</v>
      </c>
      <c r="D111" s="42">
        <v>4.8</v>
      </c>
      <c r="E111" s="42">
        <v>4.4000000000000004</v>
      </c>
      <c r="F111" s="42">
        <f t="shared" si="6"/>
        <v>-0.39999999999999947</v>
      </c>
    </row>
    <row r="112" spans="1:6" ht="15" customHeight="1">
      <c r="A112" s="2" t="str">
        <f t="shared" si="7"/>
        <v>Newtown</v>
      </c>
      <c r="B112" s="2" t="s">
        <v>1150</v>
      </c>
      <c r="C112" s="2" t="s">
        <v>1151</v>
      </c>
      <c r="D112" s="42">
        <v>4.4000000000000004</v>
      </c>
      <c r="E112" s="42">
        <v>4.3</v>
      </c>
      <c r="F112" s="42">
        <f t="shared" si="6"/>
        <v>-0.10000000000000053</v>
      </c>
    </row>
    <row r="113" spans="1:6" ht="15" customHeight="1">
      <c r="A113" s="2" t="str">
        <f t="shared" si="7"/>
        <v>Norfolk</v>
      </c>
      <c r="B113" s="2" t="s">
        <v>1152</v>
      </c>
      <c r="C113" s="2" t="s">
        <v>1153</v>
      </c>
      <c r="D113" s="42">
        <v>4.9000000000000004</v>
      </c>
      <c r="E113" s="42">
        <v>4.4000000000000004</v>
      </c>
      <c r="F113" s="42">
        <f t="shared" si="6"/>
        <v>-0.5</v>
      </c>
    </row>
    <row r="114" spans="1:6" ht="15" customHeight="1">
      <c r="A114" s="2" t="str">
        <f t="shared" si="7"/>
        <v>North Branford</v>
      </c>
      <c r="B114" s="2" t="s">
        <v>1154</v>
      </c>
      <c r="C114" s="2" t="s">
        <v>1155</v>
      </c>
      <c r="D114" s="42">
        <v>4.7</v>
      </c>
      <c r="E114" s="42">
        <v>4.2</v>
      </c>
      <c r="F114" s="42">
        <f t="shared" si="6"/>
        <v>-0.5</v>
      </c>
    </row>
    <row r="115" spans="1:6" ht="15" customHeight="1">
      <c r="A115" s="2" t="str">
        <f t="shared" si="7"/>
        <v>North Canaan</v>
      </c>
      <c r="B115" s="2" t="s">
        <v>1156</v>
      </c>
      <c r="C115" s="2" t="s">
        <v>1157</v>
      </c>
      <c r="D115" s="42">
        <v>4.5999999999999996</v>
      </c>
      <c r="E115" s="42">
        <v>4.7</v>
      </c>
      <c r="F115" s="42">
        <f t="shared" si="6"/>
        <v>0.10000000000000053</v>
      </c>
    </row>
    <row r="116" spans="1:6" ht="15" customHeight="1">
      <c r="A116" s="2" t="str">
        <f t="shared" si="7"/>
        <v>North Haven</v>
      </c>
      <c r="B116" s="2" t="s">
        <v>1158</v>
      </c>
      <c r="C116" s="2" t="s">
        <v>1159</v>
      </c>
      <c r="D116" s="42">
        <v>4.8</v>
      </c>
      <c r="E116" s="42">
        <v>4.3</v>
      </c>
      <c r="F116" s="42">
        <f t="shared" si="6"/>
        <v>-0.5</v>
      </c>
    </row>
    <row r="117" spans="1:6" ht="15" customHeight="1">
      <c r="A117" s="2" t="str">
        <f t="shared" si="7"/>
        <v>North Stonington</v>
      </c>
      <c r="B117" s="2" t="s">
        <v>1160</v>
      </c>
      <c r="C117" s="2" t="s">
        <v>1161</v>
      </c>
      <c r="D117" s="42">
        <v>4.8</v>
      </c>
      <c r="E117" s="42">
        <v>4</v>
      </c>
      <c r="F117" s="42">
        <f t="shared" si="6"/>
        <v>-0.79999999999999982</v>
      </c>
    </row>
    <row r="118" spans="1:6" ht="15" customHeight="1">
      <c r="A118" s="2" t="str">
        <f t="shared" si="7"/>
        <v>Norwalk</v>
      </c>
      <c r="B118" s="2" t="s">
        <v>1162</v>
      </c>
      <c r="C118" s="2" t="s">
        <v>1163</v>
      </c>
      <c r="D118" s="42">
        <v>4.9000000000000004</v>
      </c>
      <c r="E118" s="42">
        <v>4.4000000000000004</v>
      </c>
      <c r="F118" s="42">
        <f t="shared" si="6"/>
        <v>-0.5</v>
      </c>
    </row>
    <row r="119" spans="1:6" ht="15" customHeight="1">
      <c r="A119" s="2" t="str">
        <f t="shared" si="7"/>
        <v>Norwich</v>
      </c>
      <c r="B119" s="2" t="s">
        <v>1164</v>
      </c>
      <c r="C119" s="2" t="s">
        <v>1165</v>
      </c>
      <c r="D119" s="42">
        <v>7.3</v>
      </c>
      <c r="E119" s="42">
        <v>6.1</v>
      </c>
      <c r="F119" s="42">
        <f t="shared" si="6"/>
        <v>-1.2000000000000002</v>
      </c>
    </row>
    <row r="120" spans="1:6" ht="15" customHeight="1">
      <c r="A120" s="2" t="str">
        <f t="shared" si="7"/>
        <v>Norwich-New London-Westerly, CT-RI Metropolitan NECTA</v>
      </c>
      <c r="B120" s="2" t="s">
        <v>1166</v>
      </c>
      <c r="C120" s="2" t="s">
        <v>1167</v>
      </c>
      <c r="D120" s="42">
        <v>6.1</v>
      </c>
      <c r="E120" s="42">
        <v>5.2</v>
      </c>
      <c r="F120" s="42">
        <f t="shared" si="6"/>
        <v>-0.89999999999999947</v>
      </c>
    </row>
    <row r="121" spans="1:6" ht="15" customHeight="1">
      <c r="A121" s="2" t="str">
        <f t="shared" si="7"/>
        <v>Norwich-New London-Westerly, CT-RI Metropolitan NECTA, CT part</v>
      </c>
      <c r="B121" s="2" t="s">
        <v>1168</v>
      </c>
      <c r="C121" s="2" t="s">
        <v>1169</v>
      </c>
      <c r="D121" s="42">
        <v>6</v>
      </c>
      <c r="E121" s="42">
        <v>5.0999999999999996</v>
      </c>
      <c r="F121" s="42">
        <f t="shared" si="6"/>
        <v>-0.90000000000000036</v>
      </c>
    </row>
    <row r="122" spans="1:6" ht="15" customHeight="1">
      <c r="A122" s="2" t="str">
        <f t="shared" si="7"/>
        <v>Old Lyme</v>
      </c>
      <c r="B122" s="2" t="s">
        <v>1170</v>
      </c>
      <c r="C122" s="2" t="s">
        <v>1171</v>
      </c>
      <c r="D122" s="42">
        <v>4.5</v>
      </c>
      <c r="E122" s="42">
        <v>3.7</v>
      </c>
      <c r="F122" s="42">
        <f t="shared" si="6"/>
        <v>-0.79999999999999982</v>
      </c>
    </row>
    <row r="123" spans="1:6" ht="15" customHeight="1">
      <c r="A123" s="2" t="str">
        <f t="shared" si="7"/>
        <v>Old Saybrook</v>
      </c>
      <c r="B123" s="2" t="s">
        <v>1172</v>
      </c>
      <c r="C123" s="2" t="s">
        <v>1173</v>
      </c>
      <c r="D123" s="42">
        <v>4.7</v>
      </c>
      <c r="E123" s="42">
        <v>4.3</v>
      </c>
      <c r="F123" s="42">
        <f t="shared" si="6"/>
        <v>-0.40000000000000036</v>
      </c>
    </row>
    <row r="124" spans="1:6" ht="15" customHeight="1">
      <c r="A124" s="2" t="str">
        <f t="shared" si="7"/>
        <v>Orange</v>
      </c>
      <c r="B124" s="2" t="s">
        <v>1174</v>
      </c>
      <c r="C124" s="2" t="s">
        <v>1175</v>
      </c>
      <c r="D124" s="42">
        <v>4.2</v>
      </c>
      <c r="E124" s="42">
        <v>3.9</v>
      </c>
      <c r="F124" s="42">
        <f t="shared" si="6"/>
        <v>-0.30000000000000027</v>
      </c>
    </row>
    <row r="125" spans="1:6" ht="15" customHeight="1">
      <c r="A125" s="2" t="str">
        <f t="shared" si="7"/>
        <v>Oxford</v>
      </c>
      <c r="B125" s="2" t="s">
        <v>1176</v>
      </c>
      <c r="C125" s="2" t="s">
        <v>1177</v>
      </c>
      <c r="D125" s="42">
        <v>4.8</v>
      </c>
      <c r="E125" s="42">
        <v>4.2</v>
      </c>
      <c r="F125" s="42">
        <f t="shared" si="6"/>
        <v>-0.59999999999999964</v>
      </c>
    </row>
    <row r="126" spans="1:6" ht="15" customHeight="1">
      <c r="A126" s="2" t="str">
        <f t="shared" si="7"/>
        <v>Plainfield</v>
      </c>
      <c r="B126" s="2" t="s">
        <v>1178</v>
      </c>
      <c r="C126" s="2" t="s">
        <v>1179</v>
      </c>
      <c r="D126" s="42">
        <v>7.2</v>
      </c>
      <c r="E126" s="42">
        <v>6</v>
      </c>
      <c r="F126" s="42">
        <f t="shared" si="6"/>
        <v>-1.2000000000000002</v>
      </c>
    </row>
    <row r="127" spans="1:6" ht="15" customHeight="1">
      <c r="A127" s="2" t="str">
        <f t="shared" si="7"/>
        <v>Plainville</v>
      </c>
      <c r="B127" s="2" t="s">
        <v>1180</v>
      </c>
      <c r="C127" s="2" t="s">
        <v>1181</v>
      </c>
      <c r="D127" s="42">
        <v>5.3</v>
      </c>
      <c r="E127" s="42">
        <v>4.8</v>
      </c>
      <c r="F127" s="42">
        <f t="shared" si="6"/>
        <v>-0.5</v>
      </c>
    </row>
    <row r="128" spans="1:6" ht="15" customHeight="1">
      <c r="A128" s="2" t="str">
        <f t="shared" si="7"/>
        <v>Plymouth</v>
      </c>
      <c r="B128" s="2" t="s">
        <v>1182</v>
      </c>
      <c r="C128" s="2" t="s">
        <v>1183</v>
      </c>
      <c r="D128" s="42">
        <v>6.9</v>
      </c>
      <c r="E128" s="42">
        <v>6</v>
      </c>
      <c r="F128" s="42">
        <f t="shared" si="6"/>
        <v>-0.90000000000000036</v>
      </c>
    </row>
    <row r="129" spans="1:6" ht="15" customHeight="1">
      <c r="A129" s="2" t="str">
        <f t="shared" si="7"/>
        <v>Pomfret</v>
      </c>
      <c r="B129" s="2" t="s">
        <v>1184</v>
      </c>
      <c r="C129" s="2" t="s">
        <v>1185</v>
      </c>
      <c r="D129" s="42">
        <v>4.2</v>
      </c>
      <c r="E129" s="42">
        <v>3.4</v>
      </c>
      <c r="F129" s="42">
        <f t="shared" si="6"/>
        <v>-0.80000000000000027</v>
      </c>
    </row>
    <row r="130" spans="1:6" ht="15" customHeight="1">
      <c r="A130" s="2" t="str">
        <f t="shared" si="7"/>
        <v>Portland</v>
      </c>
      <c r="B130" s="2" t="s">
        <v>1186</v>
      </c>
      <c r="C130" s="2" t="s">
        <v>1187</v>
      </c>
      <c r="D130" s="42">
        <v>4.8</v>
      </c>
      <c r="E130" s="42">
        <v>4.5999999999999996</v>
      </c>
      <c r="F130" s="42">
        <f t="shared" ref="F130:F161" si="8">E130-D130</f>
        <v>-0.20000000000000018</v>
      </c>
    </row>
    <row r="131" spans="1:6" ht="15" customHeight="1">
      <c r="A131" s="2" t="str">
        <f t="shared" si="7"/>
        <v>Preston</v>
      </c>
      <c r="B131" s="2" t="s">
        <v>1188</v>
      </c>
      <c r="C131" s="2" t="s">
        <v>1189</v>
      </c>
      <c r="D131" s="42">
        <v>5.6</v>
      </c>
      <c r="E131" s="42">
        <v>4.9000000000000004</v>
      </c>
      <c r="F131" s="42">
        <f t="shared" si="8"/>
        <v>-0.69999999999999929</v>
      </c>
    </row>
    <row r="132" spans="1:6" ht="15" customHeight="1">
      <c r="A132" s="2" t="str">
        <f t="shared" si="7"/>
        <v>Prospect</v>
      </c>
      <c r="B132" s="2" t="s">
        <v>1190</v>
      </c>
      <c r="C132" s="2" t="s">
        <v>1191</v>
      </c>
      <c r="D132" s="42">
        <v>4.8</v>
      </c>
      <c r="E132" s="42">
        <v>4</v>
      </c>
      <c r="F132" s="42">
        <f t="shared" si="8"/>
        <v>-0.79999999999999982</v>
      </c>
    </row>
    <row r="133" spans="1:6" ht="15" customHeight="1">
      <c r="A133" s="2" t="str">
        <f t="shared" ref="A133:A164" si="9">SUBSTITUTE(SUBSTITUTE(SUBSTITUTE(SUBSTITUTE(B133," city/town, CT","")," town, CT","")," city, CT","")," borough, CT","")</f>
        <v>Putnam</v>
      </c>
      <c r="B133" s="2" t="s">
        <v>1192</v>
      </c>
      <c r="C133" s="2" t="s">
        <v>1193</v>
      </c>
      <c r="D133" s="42">
        <v>6.9</v>
      </c>
      <c r="E133" s="42">
        <v>5.8</v>
      </c>
      <c r="F133" s="42">
        <f t="shared" si="8"/>
        <v>-1.1000000000000005</v>
      </c>
    </row>
    <row r="134" spans="1:6" ht="15" customHeight="1">
      <c r="A134" s="2" t="str">
        <f t="shared" si="9"/>
        <v>Redding</v>
      </c>
      <c r="B134" s="2" t="s">
        <v>1194</v>
      </c>
      <c r="C134" s="2" t="s">
        <v>1195</v>
      </c>
      <c r="D134" s="42">
        <v>4.3</v>
      </c>
      <c r="E134" s="42">
        <v>4</v>
      </c>
      <c r="F134" s="42">
        <f t="shared" si="8"/>
        <v>-0.29999999999999982</v>
      </c>
    </row>
    <row r="135" spans="1:6" ht="15" customHeight="1">
      <c r="A135" s="2" t="str">
        <f t="shared" si="9"/>
        <v>Ridgefield</v>
      </c>
      <c r="B135" s="2" t="s">
        <v>1196</v>
      </c>
      <c r="C135" s="2" t="s">
        <v>1197</v>
      </c>
      <c r="D135" s="42">
        <v>3.9</v>
      </c>
      <c r="E135" s="42">
        <v>3.6</v>
      </c>
      <c r="F135" s="42">
        <f t="shared" si="8"/>
        <v>-0.29999999999999982</v>
      </c>
    </row>
    <row r="136" spans="1:6" ht="15" customHeight="1">
      <c r="A136" s="2" t="str">
        <f t="shared" si="9"/>
        <v>Rocky Hill</v>
      </c>
      <c r="B136" s="2" t="s">
        <v>1198</v>
      </c>
      <c r="C136" s="2" t="s">
        <v>1199</v>
      </c>
      <c r="D136" s="42">
        <v>4.2</v>
      </c>
      <c r="E136" s="42">
        <v>3.9</v>
      </c>
      <c r="F136" s="42">
        <f t="shared" si="8"/>
        <v>-0.30000000000000027</v>
      </c>
    </row>
    <row r="137" spans="1:6" ht="15" customHeight="1">
      <c r="A137" s="2" t="str">
        <f t="shared" si="9"/>
        <v>Roxbury</v>
      </c>
      <c r="B137" s="2" t="s">
        <v>1200</v>
      </c>
      <c r="C137" s="2" t="s">
        <v>1201</v>
      </c>
      <c r="D137" s="42">
        <v>3.3</v>
      </c>
      <c r="E137" s="42">
        <v>3.2</v>
      </c>
      <c r="F137" s="42">
        <f t="shared" si="8"/>
        <v>-9.9999999999999645E-2</v>
      </c>
    </row>
    <row r="138" spans="1:6" ht="15" customHeight="1">
      <c r="A138" s="2" t="str">
        <f t="shared" si="9"/>
        <v>Salem</v>
      </c>
      <c r="B138" s="2" t="s">
        <v>1202</v>
      </c>
      <c r="C138" s="2" t="s">
        <v>1203</v>
      </c>
      <c r="D138" s="42">
        <v>5.4</v>
      </c>
      <c r="E138" s="42">
        <v>4.7</v>
      </c>
      <c r="F138" s="42">
        <f t="shared" si="8"/>
        <v>-0.70000000000000018</v>
      </c>
    </row>
    <row r="139" spans="1:6" ht="15" customHeight="1">
      <c r="A139" s="2" t="str">
        <f t="shared" si="9"/>
        <v>Salisbury</v>
      </c>
      <c r="B139" s="2" t="s">
        <v>1204</v>
      </c>
      <c r="C139" s="2" t="s">
        <v>1205</v>
      </c>
      <c r="D139" s="42">
        <v>3.5</v>
      </c>
      <c r="E139" s="42">
        <v>3.1</v>
      </c>
      <c r="F139" s="42">
        <f t="shared" si="8"/>
        <v>-0.39999999999999991</v>
      </c>
    </row>
    <row r="140" spans="1:6" ht="15" customHeight="1">
      <c r="A140" s="2" t="str">
        <f t="shared" si="9"/>
        <v>Scotland</v>
      </c>
      <c r="B140" s="2" t="s">
        <v>1206</v>
      </c>
      <c r="C140" s="2" t="s">
        <v>1207</v>
      </c>
      <c r="D140" s="42">
        <v>5.2</v>
      </c>
      <c r="E140" s="42">
        <v>4.5999999999999996</v>
      </c>
      <c r="F140" s="42">
        <f t="shared" si="8"/>
        <v>-0.60000000000000053</v>
      </c>
    </row>
    <row r="141" spans="1:6" ht="15" customHeight="1">
      <c r="A141" s="2" t="str">
        <f t="shared" si="9"/>
        <v>Seymour</v>
      </c>
      <c r="B141" s="2" t="s">
        <v>1208</v>
      </c>
      <c r="C141" s="2" t="s">
        <v>1209</v>
      </c>
      <c r="D141" s="42">
        <v>6.1</v>
      </c>
      <c r="E141" s="42">
        <v>5.5</v>
      </c>
      <c r="F141" s="42">
        <f t="shared" si="8"/>
        <v>-0.59999999999999964</v>
      </c>
    </row>
    <row r="142" spans="1:6" ht="15" customHeight="1">
      <c r="A142" s="2" t="str">
        <f t="shared" si="9"/>
        <v>Sharon</v>
      </c>
      <c r="B142" s="2" t="s">
        <v>1210</v>
      </c>
      <c r="C142" s="2" t="s">
        <v>1211</v>
      </c>
      <c r="D142" s="42">
        <v>3.5</v>
      </c>
      <c r="E142" s="42">
        <v>3.2</v>
      </c>
      <c r="F142" s="42">
        <f t="shared" si="8"/>
        <v>-0.29999999999999982</v>
      </c>
    </row>
    <row r="143" spans="1:6" ht="15" customHeight="1">
      <c r="A143" s="2" t="str">
        <f t="shared" si="9"/>
        <v>Shelton</v>
      </c>
      <c r="B143" s="2" t="s">
        <v>1212</v>
      </c>
      <c r="C143" s="2" t="s">
        <v>1213</v>
      </c>
      <c r="D143" s="42">
        <v>5.5</v>
      </c>
      <c r="E143" s="42">
        <v>4.9000000000000004</v>
      </c>
      <c r="F143" s="42">
        <f t="shared" si="8"/>
        <v>-0.59999999999999964</v>
      </c>
    </row>
    <row r="144" spans="1:6" ht="15" customHeight="1">
      <c r="A144" s="2" t="str">
        <f t="shared" si="9"/>
        <v>Sherman</v>
      </c>
      <c r="B144" s="2" t="s">
        <v>1214</v>
      </c>
      <c r="C144" s="2" t="s">
        <v>1215</v>
      </c>
      <c r="D144" s="42">
        <v>4.0999999999999996</v>
      </c>
      <c r="E144" s="42">
        <v>4</v>
      </c>
      <c r="F144" s="42">
        <f t="shared" si="8"/>
        <v>-9.9999999999999645E-2</v>
      </c>
    </row>
    <row r="145" spans="1:6" ht="15" customHeight="1">
      <c r="A145" s="2" t="str">
        <f t="shared" si="9"/>
        <v>Simsbury</v>
      </c>
      <c r="B145" s="2" t="s">
        <v>1216</v>
      </c>
      <c r="C145" s="2" t="s">
        <v>1217</v>
      </c>
      <c r="D145" s="42">
        <v>3.7</v>
      </c>
      <c r="E145" s="42">
        <v>3.4</v>
      </c>
      <c r="F145" s="42">
        <f t="shared" si="8"/>
        <v>-0.30000000000000027</v>
      </c>
    </row>
    <row r="146" spans="1:6" ht="15" customHeight="1">
      <c r="A146" s="2" t="str">
        <f t="shared" si="9"/>
        <v>Somers</v>
      </c>
      <c r="B146" s="2" t="s">
        <v>1218</v>
      </c>
      <c r="C146" s="2" t="s">
        <v>1219</v>
      </c>
      <c r="D146" s="42">
        <v>4.8</v>
      </c>
      <c r="E146" s="42">
        <v>4.4000000000000004</v>
      </c>
      <c r="F146" s="42">
        <f t="shared" si="8"/>
        <v>-0.39999999999999947</v>
      </c>
    </row>
    <row r="147" spans="1:6" ht="15" customHeight="1">
      <c r="A147" s="2" t="str">
        <f t="shared" si="9"/>
        <v>South Windsor</v>
      </c>
      <c r="B147" s="2" t="s">
        <v>1220</v>
      </c>
      <c r="C147" s="2" t="s">
        <v>1221</v>
      </c>
      <c r="D147" s="42">
        <v>4.5</v>
      </c>
      <c r="E147" s="42">
        <v>4.0999999999999996</v>
      </c>
      <c r="F147" s="42">
        <f t="shared" si="8"/>
        <v>-0.40000000000000036</v>
      </c>
    </row>
    <row r="148" spans="1:6" ht="15" customHeight="1">
      <c r="A148" s="2" t="str">
        <f t="shared" si="9"/>
        <v>Southbury</v>
      </c>
      <c r="B148" s="2" t="s">
        <v>1222</v>
      </c>
      <c r="C148" s="2" t="s">
        <v>1223</v>
      </c>
      <c r="D148" s="42">
        <v>5.2</v>
      </c>
      <c r="E148" s="42">
        <v>4.8</v>
      </c>
      <c r="F148" s="42">
        <f t="shared" si="8"/>
        <v>-0.40000000000000036</v>
      </c>
    </row>
    <row r="149" spans="1:6" ht="15" customHeight="1">
      <c r="A149" s="2" t="str">
        <f t="shared" si="9"/>
        <v>Southington</v>
      </c>
      <c r="B149" s="2" t="s">
        <v>1224</v>
      </c>
      <c r="C149" s="2" t="s">
        <v>1225</v>
      </c>
      <c r="D149" s="42">
        <v>4.5999999999999996</v>
      </c>
      <c r="E149" s="42">
        <v>4.2</v>
      </c>
      <c r="F149" s="42">
        <f t="shared" si="8"/>
        <v>-0.39999999999999947</v>
      </c>
    </row>
    <row r="150" spans="1:6" ht="15" customHeight="1">
      <c r="A150" s="2" t="str">
        <f t="shared" si="9"/>
        <v>Sprague</v>
      </c>
      <c r="B150" s="2" t="s">
        <v>1226</v>
      </c>
      <c r="C150" s="2" t="s">
        <v>1227</v>
      </c>
      <c r="D150" s="42">
        <v>6.7</v>
      </c>
      <c r="E150" s="42">
        <v>5.7</v>
      </c>
      <c r="F150" s="42">
        <f t="shared" si="8"/>
        <v>-1</v>
      </c>
    </row>
    <row r="151" spans="1:6" ht="15" customHeight="1">
      <c r="A151" s="2" t="str">
        <f t="shared" si="9"/>
        <v>Springfield, MA-CT Metropolitan NECTA, CT part</v>
      </c>
      <c r="B151" s="2" t="s">
        <v>1228</v>
      </c>
      <c r="C151" s="2" t="s">
        <v>1229</v>
      </c>
      <c r="D151" s="42">
        <v>5.3</v>
      </c>
      <c r="E151" s="42">
        <v>5.0999999999999996</v>
      </c>
      <c r="F151" s="42">
        <f t="shared" si="8"/>
        <v>-0.20000000000000018</v>
      </c>
    </row>
    <row r="152" spans="1:6" ht="15" customHeight="1">
      <c r="A152" s="2" t="str">
        <f t="shared" si="9"/>
        <v>Springfield-Hartford-West Hartford, MA-CT Combined NECTA</v>
      </c>
      <c r="B152" s="2" t="s">
        <v>1230</v>
      </c>
      <c r="C152" s="2" t="s">
        <v>1231</v>
      </c>
      <c r="D152" s="42">
        <v>5.7</v>
      </c>
      <c r="E152" s="42">
        <v>4.9000000000000004</v>
      </c>
      <c r="F152" s="42">
        <f t="shared" si="8"/>
        <v>-0.79999999999999982</v>
      </c>
    </row>
    <row r="153" spans="1:6" ht="15" customHeight="1">
      <c r="A153" s="2" t="str">
        <f t="shared" si="9"/>
        <v>Stafford</v>
      </c>
      <c r="B153" s="2" t="s">
        <v>1232</v>
      </c>
      <c r="C153" s="2" t="s">
        <v>1233</v>
      </c>
      <c r="D153" s="42">
        <v>6.1</v>
      </c>
      <c r="E153" s="42">
        <v>5.4</v>
      </c>
      <c r="F153" s="42">
        <f t="shared" si="8"/>
        <v>-0.69999999999999929</v>
      </c>
    </row>
    <row r="154" spans="1:6" ht="15" customHeight="1">
      <c r="A154" s="2" t="str">
        <f t="shared" si="9"/>
        <v>Stamford</v>
      </c>
      <c r="B154" s="2" t="s">
        <v>1234</v>
      </c>
      <c r="C154" s="2" t="s">
        <v>1235</v>
      </c>
      <c r="D154" s="42">
        <v>4.7</v>
      </c>
      <c r="E154" s="42">
        <v>4.2</v>
      </c>
      <c r="F154" s="42">
        <f t="shared" si="8"/>
        <v>-0.5</v>
      </c>
    </row>
    <row r="155" spans="1:6" ht="15" customHeight="1">
      <c r="A155" s="2" t="str">
        <f t="shared" si="9"/>
        <v>Sterling</v>
      </c>
      <c r="B155" s="2" t="s">
        <v>1236</v>
      </c>
      <c r="C155" s="2" t="s">
        <v>1237</v>
      </c>
      <c r="D155" s="42">
        <v>7.4</v>
      </c>
      <c r="E155" s="42">
        <v>6.1</v>
      </c>
      <c r="F155" s="42">
        <f t="shared" si="8"/>
        <v>-1.3000000000000007</v>
      </c>
    </row>
    <row r="156" spans="1:6" ht="15" customHeight="1">
      <c r="A156" s="2" t="str">
        <f t="shared" si="9"/>
        <v>Stonington</v>
      </c>
      <c r="B156" s="2" t="s">
        <v>1238</v>
      </c>
      <c r="C156" s="2" t="s">
        <v>1239</v>
      </c>
      <c r="D156" s="42">
        <v>4.9000000000000004</v>
      </c>
      <c r="E156" s="42">
        <v>4</v>
      </c>
      <c r="F156" s="42">
        <f t="shared" si="8"/>
        <v>-0.90000000000000036</v>
      </c>
    </row>
    <row r="157" spans="1:6" ht="15" customHeight="1">
      <c r="A157" s="2" t="str">
        <f t="shared" si="9"/>
        <v>Stratford</v>
      </c>
      <c r="B157" s="2" t="s">
        <v>1240</v>
      </c>
      <c r="C157" s="2" t="s">
        <v>1241</v>
      </c>
      <c r="D157" s="42">
        <v>6.5</v>
      </c>
      <c r="E157" s="42">
        <v>5.9</v>
      </c>
      <c r="F157" s="42">
        <f t="shared" si="8"/>
        <v>-0.59999999999999964</v>
      </c>
    </row>
    <row r="158" spans="1:6" ht="15" customHeight="1">
      <c r="A158" s="2" t="str">
        <f t="shared" si="9"/>
        <v>Suffield</v>
      </c>
      <c r="B158" s="2" t="s">
        <v>1242</v>
      </c>
      <c r="C158" s="2" t="s">
        <v>1243</v>
      </c>
      <c r="D158" s="42">
        <v>4.5</v>
      </c>
      <c r="E158" s="42">
        <v>4.0999999999999996</v>
      </c>
      <c r="F158" s="42">
        <f t="shared" si="8"/>
        <v>-0.40000000000000036</v>
      </c>
    </row>
    <row r="159" spans="1:6" ht="15" customHeight="1">
      <c r="A159" s="2" t="str">
        <f t="shared" si="9"/>
        <v>Thomaston</v>
      </c>
      <c r="B159" s="2" t="s">
        <v>1244</v>
      </c>
      <c r="C159" s="2" t="s">
        <v>1245</v>
      </c>
      <c r="D159" s="42">
        <v>5</v>
      </c>
      <c r="E159" s="42">
        <v>4.3</v>
      </c>
      <c r="F159" s="42">
        <f t="shared" si="8"/>
        <v>-0.70000000000000018</v>
      </c>
    </row>
    <row r="160" spans="1:6" ht="15" customHeight="1">
      <c r="A160" s="2" t="str">
        <f t="shared" si="9"/>
        <v>Thompson</v>
      </c>
      <c r="B160" s="2" t="s">
        <v>1246</v>
      </c>
      <c r="C160" s="2" t="s">
        <v>1247</v>
      </c>
      <c r="D160" s="42">
        <v>5.3</v>
      </c>
      <c r="E160" s="42">
        <v>5.0999999999999996</v>
      </c>
      <c r="F160" s="42">
        <f t="shared" si="8"/>
        <v>-0.20000000000000018</v>
      </c>
    </row>
    <row r="161" spans="1:6" ht="15" customHeight="1">
      <c r="A161" s="2" t="str">
        <f t="shared" si="9"/>
        <v>Tolland County, CT</v>
      </c>
      <c r="B161" s="2" t="s">
        <v>1248</v>
      </c>
      <c r="C161" s="2" t="s">
        <v>1249</v>
      </c>
      <c r="D161" s="42">
        <v>4.9000000000000004</v>
      </c>
      <c r="E161" s="42">
        <v>4.4000000000000004</v>
      </c>
      <c r="F161" s="42">
        <f t="shared" si="8"/>
        <v>-0.5</v>
      </c>
    </row>
    <row r="162" spans="1:6" ht="15" customHeight="1">
      <c r="A162" s="2" t="str">
        <f t="shared" si="9"/>
        <v>Tolland</v>
      </c>
      <c r="B162" s="2" t="s">
        <v>1250</v>
      </c>
      <c r="C162" s="2" t="s">
        <v>1251</v>
      </c>
      <c r="D162" s="42">
        <v>3.8</v>
      </c>
      <c r="E162" s="42">
        <v>3.5</v>
      </c>
      <c r="F162" s="42">
        <f t="shared" ref="F162:F193" si="10">E162-D162</f>
        <v>-0.29999999999999982</v>
      </c>
    </row>
    <row r="163" spans="1:6" ht="15" customHeight="1">
      <c r="A163" s="2" t="str">
        <f t="shared" si="9"/>
        <v>Torrington</v>
      </c>
      <c r="B163" s="2" t="s">
        <v>1252</v>
      </c>
      <c r="C163" s="2" t="s">
        <v>1253</v>
      </c>
      <c r="D163" s="42">
        <v>6.3</v>
      </c>
      <c r="E163" s="42">
        <v>5.9</v>
      </c>
      <c r="F163" s="42">
        <f t="shared" si="10"/>
        <v>-0.39999999999999947</v>
      </c>
    </row>
    <row r="164" spans="1:6" ht="15" customHeight="1">
      <c r="A164" s="2" t="str">
        <f t="shared" si="9"/>
        <v>Torrington, CT Micropolitan NECTA</v>
      </c>
      <c r="B164" s="2" t="s">
        <v>1254</v>
      </c>
      <c r="C164" s="2" t="s">
        <v>1255</v>
      </c>
      <c r="D164" s="42">
        <v>6.1</v>
      </c>
      <c r="E164" s="42">
        <v>5.7</v>
      </c>
      <c r="F164" s="42">
        <f t="shared" si="10"/>
        <v>-0.39999999999999947</v>
      </c>
    </row>
    <row r="165" spans="1:6" ht="15" customHeight="1">
      <c r="A165" s="2" t="str">
        <f t="shared" ref="A165:A196" si="11">SUBSTITUTE(SUBSTITUTE(SUBSTITUTE(SUBSTITUTE(B165," city/town, CT","")," town, CT","")," city, CT","")," borough, CT","")</f>
        <v>Trumbull</v>
      </c>
      <c r="B165" s="2" t="s">
        <v>1256</v>
      </c>
      <c r="C165" s="2" t="s">
        <v>1257</v>
      </c>
      <c r="D165" s="42">
        <v>4.7</v>
      </c>
      <c r="E165" s="42">
        <v>4.2</v>
      </c>
      <c r="F165" s="42">
        <f t="shared" si="10"/>
        <v>-0.5</v>
      </c>
    </row>
    <row r="166" spans="1:6" ht="15" customHeight="1">
      <c r="A166" s="2" t="str">
        <f t="shared" si="11"/>
        <v>Union</v>
      </c>
      <c r="B166" s="2" t="s">
        <v>1258</v>
      </c>
      <c r="C166" s="2" t="s">
        <v>1259</v>
      </c>
      <c r="D166" s="42">
        <v>4.8</v>
      </c>
      <c r="E166" s="42">
        <v>4.3</v>
      </c>
      <c r="F166" s="42">
        <f t="shared" si="10"/>
        <v>-0.5</v>
      </c>
    </row>
    <row r="167" spans="1:6" ht="15" customHeight="1">
      <c r="A167" s="2" t="str">
        <f t="shared" si="11"/>
        <v>Vernon</v>
      </c>
      <c r="B167" s="2" t="s">
        <v>1260</v>
      </c>
      <c r="C167" s="2" t="s">
        <v>1261</v>
      </c>
      <c r="D167" s="42">
        <v>5.5</v>
      </c>
      <c r="E167" s="42">
        <v>4.9000000000000004</v>
      </c>
      <c r="F167" s="42">
        <f t="shared" si="10"/>
        <v>-0.59999999999999964</v>
      </c>
    </row>
    <row r="168" spans="1:6" ht="15" customHeight="1">
      <c r="A168" s="2" t="str">
        <f t="shared" si="11"/>
        <v>Voluntown</v>
      </c>
      <c r="B168" s="2" t="s">
        <v>1262</v>
      </c>
      <c r="C168" s="2" t="s">
        <v>1263</v>
      </c>
      <c r="D168" s="42">
        <v>5.9</v>
      </c>
      <c r="E168" s="42">
        <v>5</v>
      </c>
      <c r="F168" s="42">
        <f t="shared" si="10"/>
        <v>-0.90000000000000036</v>
      </c>
    </row>
    <row r="169" spans="1:6" ht="15" customHeight="1">
      <c r="A169" s="2" t="str">
        <f t="shared" si="11"/>
        <v>Wallingford</v>
      </c>
      <c r="B169" s="2" t="s">
        <v>1264</v>
      </c>
      <c r="C169" s="2" t="s">
        <v>1265</v>
      </c>
      <c r="D169" s="42">
        <v>4.8</v>
      </c>
      <c r="E169" s="42">
        <v>4.3</v>
      </c>
      <c r="F169" s="42">
        <f t="shared" si="10"/>
        <v>-0.5</v>
      </c>
    </row>
    <row r="170" spans="1:6" ht="15" customHeight="1">
      <c r="A170" s="2" t="str">
        <f t="shared" si="11"/>
        <v>Warren</v>
      </c>
      <c r="B170" s="2" t="s">
        <v>1266</v>
      </c>
      <c r="C170" s="2" t="s">
        <v>1267</v>
      </c>
      <c r="D170" s="42">
        <v>4.9000000000000004</v>
      </c>
      <c r="E170" s="42">
        <v>4.2</v>
      </c>
      <c r="F170" s="42">
        <f t="shared" si="10"/>
        <v>-0.70000000000000018</v>
      </c>
    </row>
    <row r="171" spans="1:6" ht="15" customHeight="1">
      <c r="A171" s="2" t="str">
        <f t="shared" si="11"/>
        <v>Washington</v>
      </c>
      <c r="B171" s="2" t="s">
        <v>1268</v>
      </c>
      <c r="C171" s="2" t="s">
        <v>1269</v>
      </c>
      <c r="D171" s="42">
        <v>3.9</v>
      </c>
      <c r="E171" s="42">
        <v>3.2</v>
      </c>
      <c r="F171" s="42">
        <f t="shared" si="10"/>
        <v>-0.69999999999999973</v>
      </c>
    </row>
    <row r="172" spans="1:6" ht="15" customHeight="1">
      <c r="A172" s="2" t="str">
        <f t="shared" si="11"/>
        <v>Waterbury</v>
      </c>
      <c r="B172" s="2" t="s">
        <v>1270</v>
      </c>
      <c r="C172" s="2" t="s">
        <v>1271</v>
      </c>
      <c r="D172" s="42">
        <v>9.4</v>
      </c>
      <c r="E172" s="42">
        <v>8.1</v>
      </c>
      <c r="F172" s="42">
        <f t="shared" si="10"/>
        <v>-1.3000000000000007</v>
      </c>
    </row>
    <row r="173" spans="1:6" ht="15" customHeight="1">
      <c r="A173" s="2" t="str">
        <f t="shared" si="11"/>
        <v>Waterbury, CT Metropolitan NECTA</v>
      </c>
      <c r="B173" s="2" t="s">
        <v>1272</v>
      </c>
      <c r="C173" s="2" t="s">
        <v>1273</v>
      </c>
      <c r="D173" s="42">
        <v>7.2</v>
      </c>
      <c r="E173" s="42">
        <v>6.2</v>
      </c>
      <c r="F173" s="42">
        <f t="shared" si="10"/>
        <v>-1</v>
      </c>
    </row>
    <row r="174" spans="1:6" ht="15" customHeight="1">
      <c r="A174" s="2" t="str">
        <f t="shared" si="11"/>
        <v>Waterford</v>
      </c>
      <c r="B174" s="2" t="s">
        <v>1274</v>
      </c>
      <c r="C174" s="2" t="s">
        <v>1275</v>
      </c>
      <c r="D174" s="42">
        <v>5.0999999999999996</v>
      </c>
      <c r="E174" s="42">
        <v>4.5999999999999996</v>
      </c>
      <c r="F174" s="42">
        <f t="shared" si="10"/>
        <v>-0.5</v>
      </c>
    </row>
    <row r="175" spans="1:6" ht="15" customHeight="1">
      <c r="A175" s="2" t="str">
        <f t="shared" si="11"/>
        <v>Watertown</v>
      </c>
      <c r="B175" s="2" t="s">
        <v>1276</v>
      </c>
      <c r="C175" s="2" t="s">
        <v>1277</v>
      </c>
      <c r="D175" s="42">
        <v>4.9000000000000004</v>
      </c>
      <c r="E175" s="42">
        <v>4.4000000000000004</v>
      </c>
      <c r="F175" s="42">
        <f t="shared" si="10"/>
        <v>-0.5</v>
      </c>
    </row>
    <row r="176" spans="1:6" ht="15" customHeight="1">
      <c r="A176" s="2" t="str">
        <f t="shared" si="11"/>
        <v>West Hartford</v>
      </c>
      <c r="B176" s="2" t="s">
        <v>1278</v>
      </c>
      <c r="C176" s="2" t="s">
        <v>1279</v>
      </c>
      <c r="D176" s="42">
        <v>4.0999999999999996</v>
      </c>
      <c r="E176" s="42">
        <v>3.7</v>
      </c>
      <c r="F176" s="42">
        <f t="shared" si="10"/>
        <v>-0.39999999999999947</v>
      </c>
    </row>
    <row r="177" spans="1:6" ht="15" customHeight="1">
      <c r="A177" s="2" t="str">
        <f t="shared" si="11"/>
        <v>West Haven</v>
      </c>
      <c r="B177" s="2" t="s">
        <v>1280</v>
      </c>
      <c r="C177" s="2" t="s">
        <v>1281</v>
      </c>
      <c r="D177" s="42">
        <v>6.9</v>
      </c>
      <c r="E177" s="42">
        <v>6</v>
      </c>
      <c r="F177" s="42">
        <f t="shared" si="10"/>
        <v>-0.90000000000000036</v>
      </c>
    </row>
    <row r="178" spans="1:6" ht="15" customHeight="1">
      <c r="A178" s="2" t="str">
        <f t="shared" si="11"/>
        <v>Westbrook</v>
      </c>
      <c r="B178" s="2" t="s">
        <v>1282</v>
      </c>
      <c r="C178" s="2" t="s">
        <v>1283</v>
      </c>
      <c r="D178" s="42">
        <v>4.9000000000000004</v>
      </c>
      <c r="E178" s="42">
        <v>4.5999999999999996</v>
      </c>
      <c r="F178" s="42">
        <f t="shared" si="10"/>
        <v>-0.30000000000000071</v>
      </c>
    </row>
    <row r="179" spans="1:6" ht="15" customHeight="1">
      <c r="A179" s="2" t="str">
        <f t="shared" si="11"/>
        <v>Weston</v>
      </c>
      <c r="B179" s="2" t="s">
        <v>1284</v>
      </c>
      <c r="C179" s="2" t="s">
        <v>1285</v>
      </c>
      <c r="D179" s="42">
        <v>4.3</v>
      </c>
      <c r="E179" s="42">
        <v>4</v>
      </c>
      <c r="F179" s="42">
        <f t="shared" si="10"/>
        <v>-0.29999999999999982</v>
      </c>
    </row>
    <row r="180" spans="1:6" ht="15" customHeight="1">
      <c r="A180" s="2" t="str">
        <f t="shared" si="11"/>
        <v>Westport</v>
      </c>
      <c r="B180" s="2" t="s">
        <v>1286</v>
      </c>
      <c r="C180" s="2" t="s">
        <v>1287</v>
      </c>
      <c r="D180" s="42">
        <v>4.2</v>
      </c>
      <c r="E180" s="42">
        <v>3.7</v>
      </c>
      <c r="F180" s="42">
        <f t="shared" si="10"/>
        <v>-0.5</v>
      </c>
    </row>
    <row r="181" spans="1:6" ht="15" customHeight="1">
      <c r="A181" s="2" t="str">
        <f t="shared" si="11"/>
        <v>Wethersfield</v>
      </c>
      <c r="B181" s="2" t="s">
        <v>1288</v>
      </c>
      <c r="C181" s="2" t="s">
        <v>1289</v>
      </c>
      <c r="D181" s="42">
        <v>4.9000000000000004</v>
      </c>
      <c r="E181" s="42">
        <v>4.5</v>
      </c>
      <c r="F181" s="42">
        <f t="shared" si="10"/>
        <v>-0.40000000000000036</v>
      </c>
    </row>
    <row r="182" spans="1:6" ht="15" customHeight="1">
      <c r="A182" s="2" t="str">
        <f t="shared" si="11"/>
        <v>Willington</v>
      </c>
      <c r="B182" s="2" t="s">
        <v>1290</v>
      </c>
      <c r="C182" s="2" t="s">
        <v>1291</v>
      </c>
      <c r="D182" s="42">
        <v>4.3</v>
      </c>
      <c r="E182" s="42">
        <v>3.9</v>
      </c>
      <c r="F182" s="42">
        <f t="shared" si="10"/>
        <v>-0.39999999999999991</v>
      </c>
    </row>
    <row r="183" spans="1:6" ht="15" customHeight="1">
      <c r="A183" s="2" t="str">
        <f t="shared" si="11"/>
        <v>Wilton</v>
      </c>
      <c r="B183" s="2" t="s">
        <v>1292</v>
      </c>
      <c r="C183" s="2" t="s">
        <v>1293</v>
      </c>
      <c r="D183" s="42">
        <v>4.0999999999999996</v>
      </c>
      <c r="E183" s="42">
        <v>3.9</v>
      </c>
      <c r="F183" s="42">
        <f t="shared" si="10"/>
        <v>-0.19999999999999973</v>
      </c>
    </row>
    <row r="184" spans="1:6" ht="15" customHeight="1">
      <c r="A184" s="2" t="str">
        <f t="shared" si="11"/>
        <v>Winchester</v>
      </c>
      <c r="B184" s="2" t="s">
        <v>1294</v>
      </c>
      <c r="C184" s="2" t="s">
        <v>1295</v>
      </c>
      <c r="D184" s="42">
        <v>6</v>
      </c>
      <c r="E184" s="42">
        <v>5.3</v>
      </c>
      <c r="F184" s="42">
        <f t="shared" si="10"/>
        <v>-0.70000000000000018</v>
      </c>
    </row>
    <row r="185" spans="1:6" ht="15" customHeight="1">
      <c r="A185" s="2" t="str">
        <f t="shared" si="11"/>
        <v>Windham County, CT</v>
      </c>
      <c r="B185" s="2" t="s">
        <v>1296</v>
      </c>
      <c r="C185" s="2" t="s">
        <v>1297</v>
      </c>
      <c r="D185" s="42">
        <v>6.3</v>
      </c>
      <c r="E185" s="42">
        <v>5.5</v>
      </c>
      <c r="F185" s="42">
        <f t="shared" si="10"/>
        <v>-0.79999999999999982</v>
      </c>
    </row>
    <row r="186" spans="1:6" ht="15" customHeight="1">
      <c r="A186" s="2" t="str">
        <f t="shared" si="11"/>
        <v>Windham</v>
      </c>
      <c r="B186" s="2" t="s">
        <v>1298</v>
      </c>
      <c r="C186" s="2" t="s">
        <v>1299</v>
      </c>
      <c r="D186" s="42">
        <v>7.1</v>
      </c>
      <c r="E186" s="42">
        <v>6.1</v>
      </c>
      <c r="F186" s="42">
        <f t="shared" si="10"/>
        <v>-1</v>
      </c>
    </row>
    <row r="187" spans="1:6" ht="15" customHeight="1">
      <c r="A187" s="2" t="str">
        <f t="shared" si="11"/>
        <v>Windsor Locks</v>
      </c>
      <c r="B187" s="2" t="s">
        <v>1300</v>
      </c>
      <c r="C187" s="2" t="s">
        <v>1301</v>
      </c>
      <c r="D187" s="42">
        <v>5.5</v>
      </c>
      <c r="E187" s="42">
        <v>5.2</v>
      </c>
      <c r="F187" s="42">
        <f t="shared" si="10"/>
        <v>-0.29999999999999982</v>
      </c>
    </row>
    <row r="188" spans="1:6" ht="15" customHeight="1">
      <c r="A188" s="2" t="str">
        <f t="shared" si="11"/>
        <v>Windsor</v>
      </c>
      <c r="B188" s="2" t="s">
        <v>1302</v>
      </c>
      <c r="C188" s="2" t="s">
        <v>1303</v>
      </c>
      <c r="D188" s="42">
        <v>5.5</v>
      </c>
      <c r="E188" s="42">
        <v>4.9000000000000004</v>
      </c>
      <c r="F188" s="42">
        <f t="shared" si="10"/>
        <v>-0.59999999999999964</v>
      </c>
    </row>
    <row r="189" spans="1:6" ht="15" customHeight="1">
      <c r="A189" s="2" t="str">
        <f t="shared" si="11"/>
        <v>Wolcott</v>
      </c>
      <c r="B189" s="2" t="s">
        <v>1304</v>
      </c>
      <c r="C189" s="2" t="s">
        <v>1305</v>
      </c>
      <c r="D189" s="42">
        <v>4.7</v>
      </c>
      <c r="E189" s="42">
        <v>4.3</v>
      </c>
      <c r="F189" s="42">
        <f t="shared" si="10"/>
        <v>-0.40000000000000036</v>
      </c>
    </row>
    <row r="190" spans="1:6" ht="15" customHeight="1">
      <c r="A190" s="2" t="str">
        <f t="shared" si="11"/>
        <v>Woodbridge</v>
      </c>
      <c r="B190" s="2" t="s">
        <v>1306</v>
      </c>
      <c r="C190" s="2" t="s">
        <v>1307</v>
      </c>
      <c r="D190" s="42">
        <v>3.9</v>
      </c>
      <c r="E190" s="42">
        <v>3.4</v>
      </c>
      <c r="F190" s="42">
        <f t="shared" si="10"/>
        <v>-0.5</v>
      </c>
    </row>
    <row r="191" spans="1:6" ht="15" customHeight="1">
      <c r="A191" s="2" t="str">
        <f t="shared" si="11"/>
        <v>Woodbury</v>
      </c>
      <c r="B191" s="2" t="s">
        <v>1308</v>
      </c>
      <c r="C191" s="2" t="s">
        <v>1309</v>
      </c>
      <c r="D191" s="42">
        <v>4.3</v>
      </c>
      <c r="E191" s="42">
        <v>3.9</v>
      </c>
      <c r="F191" s="42">
        <f t="shared" si="10"/>
        <v>-0.39999999999999991</v>
      </c>
    </row>
    <row r="192" spans="1:6" ht="15" customHeight="1">
      <c r="A192" s="2" t="str">
        <f t="shared" si="11"/>
        <v>Woodstock</v>
      </c>
      <c r="B192" s="2" t="s">
        <v>1310</v>
      </c>
      <c r="C192" s="2" t="s">
        <v>1311</v>
      </c>
      <c r="D192" s="42">
        <v>4.8</v>
      </c>
      <c r="E192" s="42">
        <v>4.3</v>
      </c>
      <c r="F192" s="42">
        <f t="shared" si="10"/>
        <v>-0.5</v>
      </c>
    </row>
    <row r="193" spans="1:6" ht="15" customHeight="1">
      <c r="A193" s="2" t="str">
        <f t="shared" si="11"/>
        <v>Worcester, MA-CT Metropolitan NECTA, CT part</v>
      </c>
      <c r="B193" s="2" t="s">
        <v>1312</v>
      </c>
      <c r="C193" s="2" t="s">
        <v>1313</v>
      </c>
      <c r="D193" s="42">
        <v>6.3</v>
      </c>
      <c r="E193" s="42">
        <v>5.4</v>
      </c>
      <c r="F193" s="42">
        <f t="shared" si="10"/>
        <v>-0.89999999999999947</v>
      </c>
    </row>
  </sheetData>
  <pageMargins left="0.7" right="0.7" top="0.75" bottom="0.75" header="0.3" footer="0.3"/>
  <pageSetup orientation="portrait"/>
  <headerFooter>
    <oddFooter>&amp;C&amp;"Helvetica,Regular"&amp;12&amp;K000000&amp;P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V385"/>
  <sheetViews>
    <sheetView showGridLines="0" workbookViewId="0"/>
  </sheetViews>
  <sheetFormatPr baseColWidth="10" defaultColWidth="8.83203125" defaultRowHeight="14" customHeight="1"/>
  <cols>
    <col min="1" max="1" width="16.6640625" style="130" customWidth="1"/>
    <col min="2" max="2" width="33.83203125" style="130" customWidth="1"/>
    <col min="3" max="256" width="8.83203125" style="130" customWidth="1"/>
  </cols>
  <sheetData>
    <row r="1" spans="1:7" ht="15" customHeight="1">
      <c r="A1" s="37" t="s">
        <v>930</v>
      </c>
      <c r="B1" s="37" t="s">
        <v>929</v>
      </c>
      <c r="C1" s="37" t="s">
        <v>1316</v>
      </c>
      <c r="D1" s="37" t="s">
        <v>928</v>
      </c>
      <c r="E1" s="37" t="s">
        <v>1317</v>
      </c>
      <c r="F1" s="37" t="s">
        <v>1318</v>
      </c>
      <c r="G1" s="37" t="s">
        <v>1319</v>
      </c>
    </row>
    <row r="2" spans="1:7" ht="15" customHeight="1">
      <c r="A2" s="37" t="s">
        <v>962</v>
      </c>
      <c r="B2" s="37" t="s">
        <v>961</v>
      </c>
      <c r="C2" s="6">
        <v>3</v>
      </c>
      <c r="D2" s="6">
        <v>2015</v>
      </c>
      <c r="E2" s="37" t="s">
        <v>1320</v>
      </c>
      <c r="F2" s="37" t="s">
        <v>1321</v>
      </c>
      <c r="G2" s="6">
        <v>5.7</v>
      </c>
    </row>
    <row r="3" spans="1:7" ht="15" customHeight="1">
      <c r="A3" s="37" t="s">
        <v>962</v>
      </c>
      <c r="B3" s="37" t="s">
        <v>961</v>
      </c>
      <c r="C3" s="6">
        <v>3</v>
      </c>
      <c r="D3" s="6">
        <v>2016</v>
      </c>
      <c r="E3" s="37" t="s">
        <v>1320</v>
      </c>
      <c r="F3" s="37" t="s">
        <v>1322</v>
      </c>
      <c r="G3" s="6">
        <v>5.0999999999999996</v>
      </c>
    </row>
    <row r="4" spans="1:7" ht="15" customHeight="1">
      <c r="A4" s="37" t="s">
        <v>1231</v>
      </c>
      <c r="B4" s="37" t="s">
        <v>1230</v>
      </c>
      <c r="C4" s="6">
        <v>3</v>
      </c>
      <c r="D4" s="6">
        <v>2015</v>
      </c>
      <c r="E4" s="37" t="s">
        <v>1320</v>
      </c>
      <c r="F4" s="37" t="s">
        <v>1323</v>
      </c>
      <c r="G4" s="6">
        <v>5.7</v>
      </c>
    </row>
    <row r="5" spans="1:7" ht="15" customHeight="1">
      <c r="A5" s="37" t="s">
        <v>1231</v>
      </c>
      <c r="B5" s="37" t="s">
        <v>1230</v>
      </c>
      <c r="C5" s="6">
        <v>3</v>
      </c>
      <c r="D5" s="6">
        <v>2016</v>
      </c>
      <c r="E5" s="37" t="s">
        <v>1320</v>
      </c>
      <c r="F5" s="37" t="s">
        <v>1324</v>
      </c>
      <c r="G5" s="6">
        <v>4.9000000000000004</v>
      </c>
    </row>
    <row r="6" spans="1:7" ht="15" customHeight="1">
      <c r="A6" s="37" t="s">
        <v>1039</v>
      </c>
      <c r="B6" s="37" t="s">
        <v>1038</v>
      </c>
      <c r="C6" s="6">
        <v>3</v>
      </c>
      <c r="D6" s="6">
        <v>2015</v>
      </c>
      <c r="E6" s="37" t="s">
        <v>1320</v>
      </c>
      <c r="F6" s="37" t="s">
        <v>1325</v>
      </c>
      <c r="G6" s="6">
        <v>5.4</v>
      </c>
    </row>
    <row r="7" spans="1:7" ht="15" customHeight="1">
      <c r="A7" s="37" t="s">
        <v>1039</v>
      </c>
      <c r="B7" s="37" t="s">
        <v>1038</v>
      </c>
      <c r="C7" s="6">
        <v>3</v>
      </c>
      <c r="D7" s="6">
        <v>2016</v>
      </c>
      <c r="E7" s="37" t="s">
        <v>1320</v>
      </c>
      <c r="F7" s="37" t="s">
        <v>1326</v>
      </c>
      <c r="G7" s="6">
        <v>4.8</v>
      </c>
    </row>
    <row r="8" spans="1:7" ht="15" customHeight="1">
      <c r="A8" s="37" t="s">
        <v>1071</v>
      </c>
      <c r="B8" s="37" t="s">
        <v>1070</v>
      </c>
      <c r="C8" s="6">
        <v>3</v>
      </c>
      <c r="D8" s="6">
        <v>2015</v>
      </c>
      <c r="E8" s="37" t="s">
        <v>1320</v>
      </c>
      <c r="F8" s="37" t="s">
        <v>1327</v>
      </c>
      <c r="G8" s="6">
        <v>5.9</v>
      </c>
    </row>
    <row r="9" spans="1:7" ht="15" customHeight="1">
      <c r="A9" s="37" t="s">
        <v>1071</v>
      </c>
      <c r="B9" s="37" t="s">
        <v>1070</v>
      </c>
      <c r="C9" s="6">
        <v>3</v>
      </c>
      <c r="D9" s="6">
        <v>2016</v>
      </c>
      <c r="E9" s="37" t="s">
        <v>1320</v>
      </c>
      <c r="F9" s="37" t="s">
        <v>1328</v>
      </c>
      <c r="G9" s="6">
        <v>5.3</v>
      </c>
    </row>
    <row r="10" spans="1:7" ht="15" customHeight="1">
      <c r="A10" s="37" t="s">
        <v>1093</v>
      </c>
      <c r="B10" s="37" t="s">
        <v>1092</v>
      </c>
      <c r="C10" s="6">
        <v>3</v>
      </c>
      <c r="D10" s="6">
        <v>2015</v>
      </c>
      <c r="E10" s="37" t="s">
        <v>1320</v>
      </c>
      <c r="F10" s="37" t="s">
        <v>1329</v>
      </c>
      <c r="G10" s="6">
        <v>5.0999999999999996</v>
      </c>
    </row>
    <row r="11" spans="1:7" ht="15" customHeight="1">
      <c r="A11" s="37" t="s">
        <v>1093</v>
      </c>
      <c r="B11" s="37" t="s">
        <v>1092</v>
      </c>
      <c r="C11" s="6">
        <v>3</v>
      </c>
      <c r="D11" s="6">
        <v>2016</v>
      </c>
      <c r="E11" s="37" t="s">
        <v>1320</v>
      </c>
      <c r="F11" s="37" t="s">
        <v>1330</v>
      </c>
      <c r="G11" s="6">
        <v>4.5999999999999996</v>
      </c>
    </row>
    <row r="12" spans="1:7" ht="15" customHeight="1">
      <c r="A12" s="37" t="s">
        <v>1115</v>
      </c>
      <c r="B12" s="37" t="s">
        <v>1114</v>
      </c>
      <c r="C12" s="6">
        <v>3</v>
      </c>
      <c r="D12" s="6">
        <v>2015</v>
      </c>
      <c r="E12" s="37" t="s">
        <v>1320</v>
      </c>
      <c r="F12" s="37" t="s">
        <v>1331</v>
      </c>
      <c r="G12" s="6">
        <v>4.9000000000000004</v>
      </c>
    </row>
    <row r="13" spans="1:7" ht="15" customHeight="1">
      <c r="A13" s="37" t="s">
        <v>1115</v>
      </c>
      <c r="B13" s="37" t="s">
        <v>1114</v>
      </c>
      <c r="C13" s="6">
        <v>3</v>
      </c>
      <c r="D13" s="6">
        <v>2016</v>
      </c>
      <c r="E13" s="37" t="s">
        <v>1320</v>
      </c>
      <c r="F13" s="37" t="s">
        <v>1332</v>
      </c>
      <c r="G13" s="6">
        <v>4.4000000000000004</v>
      </c>
    </row>
    <row r="14" spans="1:7" ht="15" customHeight="1">
      <c r="A14" s="37" t="s">
        <v>1139</v>
      </c>
      <c r="B14" s="37" t="s">
        <v>1138</v>
      </c>
      <c r="C14" s="6">
        <v>3</v>
      </c>
      <c r="D14" s="6">
        <v>2015</v>
      </c>
      <c r="E14" s="37" t="s">
        <v>1320</v>
      </c>
      <c r="F14" s="37" t="s">
        <v>1333</v>
      </c>
      <c r="G14" s="6">
        <v>6.2</v>
      </c>
    </row>
    <row r="15" spans="1:7" ht="15" customHeight="1">
      <c r="A15" s="37" t="s">
        <v>1139</v>
      </c>
      <c r="B15" s="37" t="s">
        <v>1138</v>
      </c>
      <c r="C15" s="6">
        <v>3</v>
      </c>
      <c r="D15" s="6">
        <v>2016</v>
      </c>
      <c r="E15" s="37" t="s">
        <v>1320</v>
      </c>
      <c r="F15" s="37" t="s">
        <v>1334</v>
      </c>
      <c r="G15" s="6">
        <v>5.5</v>
      </c>
    </row>
    <row r="16" spans="1:7" ht="15" customHeight="1">
      <c r="A16" s="37" t="s">
        <v>1145</v>
      </c>
      <c r="B16" s="37" t="s">
        <v>1144</v>
      </c>
      <c r="C16" s="6">
        <v>3</v>
      </c>
      <c r="D16" s="6">
        <v>2015</v>
      </c>
      <c r="E16" s="37" t="s">
        <v>1320</v>
      </c>
      <c r="F16" s="37" t="s">
        <v>1335</v>
      </c>
      <c r="G16" s="6">
        <v>5.9</v>
      </c>
    </row>
    <row r="17" spans="1:7" ht="15" customHeight="1">
      <c r="A17" s="37" t="s">
        <v>1145</v>
      </c>
      <c r="B17" s="37" t="s">
        <v>1144</v>
      </c>
      <c r="C17" s="6">
        <v>3</v>
      </c>
      <c r="D17" s="6">
        <v>2016</v>
      </c>
      <c r="E17" s="37" t="s">
        <v>1320</v>
      </c>
      <c r="F17" s="37" t="s">
        <v>1336</v>
      </c>
      <c r="G17" s="6">
        <v>5</v>
      </c>
    </row>
    <row r="18" spans="1:7" ht="15" customHeight="1">
      <c r="A18" s="37" t="s">
        <v>1249</v>
      </c>
      <c r="B18" s="37" t="s">
        <v>1248</v>
      </c>
      <c r="C18" s="6">
        <v>3</v>
      </c>
      <c r="D18" s="6">
        <v>2015</v>
      </c>
      <c r="E18" s="37" t="s">
        <v>1320</v>
      </c>
      <c r="F18" s="37" t="s">
        <v>1337</v>
      </c>
      <c r="G18" s="6">
        <v>4.9000000000000004</v>
      </c>
    </row>
    <row r="19" spans="1:7" ht="15" customHeight="1">
      <c r="A19" s="37" t="s">
        <v>1249</v>
      </c>
      <c r="B19" s="37" t="s">
        <v>1248</v>
      </c>
      <c r="C19" s="6">
        <v>3</v>
      </c>
      <c r="D19" s="6">
        <v>2016</v>
      </c>
      <c r="E19" s="37" t="s">
        <v>1320</v>
      </c>
      <c r="F19" s="37" t="s">
        <v>1338</v>
      </c>
      <c r="G19" s="6">
        <v>4.4000000000000004</v>
      </c>
    </row>
    <row r="20" spans="1:7" ht="15" customHeight="1">
      <c r="A20" s="37" t="s">
        <v>1297</v>
      </c>
      <c r="B20" s="37" t="s">
        <v>1296</v>
      </c>
      <c r="C20" s="6">
        <v>3</v>
      </c>
      <c r="D20" s="6">
        <v>2015</v>
      </c>
      <c r="E20" s="37" t="s">
        <v>1320</v>
      </c>
      <c r="F20" s="37" t="s">
        <v>1339</v>
      </c>
      <c r="G20" s="6">
        <v>6.3</v>
      </c>
    </row>
    <row r="21" spans="1:7" ht="15" customHeight="1">
      <c r="A21" s="37" t="s">
        <v>1297</v>
      </c>
      <c r="B21" s="37" t="s">
        <v>1296</v>
      </c>
      <c r="C21" s="6">
        <v>3</v>
      </c>
      <c r="D21" s="6">
        <v>2016</v>
      </c>
      <c r="E21" s="37" t="s">
        <v>1320</v>
      </c>
      <c r="F21" s="37" t="s">
        <v>1340</v>
      </c>
      <c r="G21" s="6">
        <v>5.5</v>
      </c>
    </row>
    <row r="22" spans="1:7" ht="15" customHeight="1">
      <c r="A22" s="37" t="s">
        <v>932</v>
      </c>
      <c r="B22" s="37" t="s">
        <v>931</v>
      </c>
      <c r="C22" s="6">
        <v>3</v>
      </c>
      <c r="D22" s="6">
        <v>2015</v>
      </c>
      <c r="E22" s="37" t="s">
        <v>1320</v>
      </c>
      <c r="F22" s="37" t="s">
        <v>1341</v>
      </c>
      <c r="G22" s="6">
        <v>4.5</v>
      </c>
    </row>
    <row r="23" spans="1:7" ht="15" customHeight="1">
      <c r="A23" s="37" t="s">
        <v>932</v>
      </c>
      <c r="B23" s="37" t="s">
        <v>931</v>
      </c>
      <c r="C23" s="6">
        <v>3</v>
      </c>
      <c r="D23" s="6">
        <v>2016</v>
      </c>
      <c r="E23" s="37" t="s">
        <v>1320</v>
      </c>
      <c r="F23" s="37" t="s">
        <v>1342</v>
      </c>
      <c r="G23" s="6">
        <v>4.0999999999999996</v>
      </c>
    </row>
    <row r="24" spans="1:7" ht="15" customHeight="1">
      <c r="A24" s="37" t="s">
        <v>936</v>
      </c>
      <c r="B24" s="37" t="s">
        <v>935</v>
      </c>
      <c r="C24" s="6">
        <v>3</v>
      </c>
      <c r="D24" s="6">
        <v>2015</v>
      </c>
      <c r="E24" s="37" t="s">
        <v>1320</v>
      </c>
      <c r="F24" s="37" t="s">
        <v>1343</v>
      </c>
      <c r="G24" s="6">
        <v>4.5</v>
      </c>
    </row>
    <row r="25" spans="1:7" ht="15" customHeight="1">
      <c r="A25" s="37" t="s">
        <v>936</v>
      </c>
      <c r="B25" s="37" t="s">
        <v>935</v>
      </c>
      <c r="C25" s="6">
        <v>3</v>
      </c>
      <c r="D25" s="6">
        <v>2016</v>
      </c>
      <c r="E25" s="37" t="s">
        <v>1320</v>
      </c>
      <c r="F25" s="37" t="s">
        <v>1344</v>
      </c>
      <c r="G25" s="6">
        <v>4.4000000000000004</v>
      </c>
    </row>
    <row r="26" spans="1:7" ht="15" customHeight="1">
      <c r="A26" s="37" t="s">
        <v>938</v>
      </c>
      <c r="B26" s="37" t="s">
        <v>937</v>
      </c>
      <c r="C26" s="6">
        <v>3</v>
      </c>
      <c r="D26" s="6">
        <v>2015</v>
      </c>
      <c r="E26" s="37" t="s">
        <v>1320</v>
      </c>
      <c r="F26" s="37" t="s">
        <v>1345</v>
      </c>
      <c r="G26" s="6">
        <v>3.7</v>
      </c>
    </row>
    <row r="27" spans="1:7" ht="15" customHeight="1">
      <c r="A27" s="37" t="s">
        <v>938</v>
      </c>
      <c r="B27" s="37" t="s">
        <v>937</v>
      </c>
      <c r="C27" s="6">
        <v>3</v>
      </c>
      <c r="D27" s="6">
        <v>2016</v>
      </c>
      <c r="E27" s="37" t="s">
        <v>1320</v>
      </c>
      <c r="F27" s="37" t="s">
        <v>1346</v>
      </c>
      <c r="G27" s="6">
        <v>3.4</v>
      </c>
    </row>
    <row r="28" spans="1:7" ht="15" customHeight="1">
      <c r="A28" s="37" t="s">
        <v>940</v>
      </c>
      <c r="B28" s="37" t="s">
        <v>939</v>
      </c>
      <c r="C28" s="6">
        <v>3</v>
      </c>
      <c r="D28" s="6">
        <v>2015</v>
      </c>
      <c r="E28" s="37" t="s">
        <v>1320</v>
      </c>
      <c r="F28" s="37" t="s">
        <v>1347</v>
      </c>
      <c r="G28" s="6">
        <v>4.5999999999999996</v>
      </c>
    </row>
    <row r="29" spans="1:7" ht="15" customHeight="1">
      <c r="A29" s="37" t="s">
        <v>940</v>
      </c>
      <c r="B29" s="37" t="s">
        <v>939</v>
      </c>
      <c r="C29" s="6">
        <v>3</v>
      </c>
      <c r="D29" s="6">
        <v>2016</v>
      </c>
      <c r="E29" s="37" t="s">
        <v>1320</v>
      </c>
      <c r="F29" s="37" t="s">
        <v>1348</v>
      </c>
      <c r="G29" s="6">
        <v>4.4000000000000004</v>
      </c>
    </row>
    <row r="30" spans="1:7" ht="15" customHeight="1">
      <c r="A30" s="37" t="s">
        <v>942</v>
      </c>
      <c r="B30" s="37" t="s">
        <v>941</v>
      </c>
      <c r="C30" s="6">
        <v>3</v>
      </c>
      <c r="D30" s="6">
        <v>2015</v>
      </c>
      <c r="E30" s="37" t="s">
        <v>1320</v>
      </c>
      <c r="F30" s="37" t="s">
        <v>1349</v>
      </c>
      <c r="G30" s="6">
        <v>5.2</v>
      </c>
    </row>
    <row r="31" spans="1:7" ht="15" customHeight="1">
      <c r="A31" s="37" t="s">
        <v>942</v>
      </c>
      <c r="B31" s="37" t="s">
        <v>941</v>
      </c>
      <c r="C31" s="6">
        <v>3</v>
      </c>
      <c r="D31" s="6">
        <v>2016</v>
      </c>
      <c r="E31" s="37" t="s">
        <v>1320</v>
      </c>
      <c r="F31" s="37" t="s">
        <v>1350</v>
      </c>
      <c r="G31" s="6">
        <v>4.5999999999999996</v>
      </c>
    </row>
    <row r="32" spans="1:7" ht="15" customHeight="1">
      <c r="A32" s="37" t="s">
        <v>944</v>
      </c>
      <c r="B32" s="37" t="s">
        <v>943</v>
      </c>
      <c r="C32" s="6">
        <v>3</v>
      </c>
      <c r="D32" s="6">
        <v>2015</v>
      </c>
      <c r="E32" s="37" t="s">
        <v>1320</v>
      </c>
      <c r="F32" s="37" t="s">
        <v>1351</v>
      </c>
      <c r="G32" s="6">
        <v>4.7</v>
      </c>
    </row>
    <row r="33" spans="1:7" ht="15" customHeight="1">
      <c r="A33" s="37" t="s">
        <v>944</v>
      </c>
      <c r="B33" s="37" t="s">
        <v>943</v>
      </c>
      <c r="C33" s="6">
        <v>3</v>
      </c>
      <c r="D33" s="6">
        <v>2016</v>
      </c>
      <c r="E33" s="37" t="s">
        <v>1320</v>
      </c>
      <c r="F33" s="37" t="s">
        <v>1352</v>
      </c>
      <c r="G33" s="6">
        <v>4.0999999999999996</v>
      </c>
    </row>
    <row r="34" spans="1:7" ht="15" customHeight="1">
      <c r="A34" s="37" t="s">
        <v>946</v>
      </c>
      <c r="B34" s="37" t="s">
        <v>945</v>
      </c>
      <c r="C34" s="6">
        <v>3</v>
      </c>
      <c r="D34" s="6">
        <v>2015</v>
      </c>
      <c r="E34" s="37" t="s">
        <v>1320</v>
      </c>
      <c r="F34" s="37" t="s">
        <v>1353</v>
      </c>
      <c r="G34" s="6">
        <v>4.4000000000000004</v>
      </c>
    </row>
    <row r="35" spans="1:7" ht="15" customHeight="1">
      <c r="A35" s="37" t="s">
        <v>946</v>
      </c>
      <c r="B35" s="37" t="s">
        <v>945</v>
      </c>
      <c r="C35" s="6">
        <v>3</v>
      </c>
      <c r="D35" s="6">
        <v>2016</v>
      </c>
      <c r="E35" s="37" t="s">
        <v>1320</v>
      </c>
      <c r="F35" s="37" t="s">
        <v>1354</v>
      </c>
      <c r="G35" s="6">
        <v>3.9</v>
      </c>
    </row>
    <row r="36" spans="1:7" ht="15" customHeight="1">
      <c r="A36" s="37" t="s">
        <v>948</v>
      </c>
      <c r="B36" s="37" t="s">
        <v>947</v>
      </c>
      <c r="C36" s="6">
        <v>3</v>
      </c>
      <c r="D36" s="6">
        <v>2015</v>
      </c>
      <c r="E36" s="37" t="s">
        <v>1320</v>
      </c>
      <c r="F36" s="37" t="s">
        <v>1355</v>
      </c>
      <c r="G36" s="6">
        <v>4.7</v>
      </c>
    </row>
    <row r="37" spans="1:7" ht="15" customHeight="1">
      <c r="A37" s="37" t="s">
        <v>948</v>
      </c>
      <c r="B37" s="37" t="s">
        <v>947</v>
      </c>
      <c r="C37" s="6">
        <v>3</v>
      </c>
      <c r="D37" s="6">
        <v>2016</v>
      </c>
      <c r="E37" s="37" t="s">
        <v>1320</v>
      </c>
      <c r="F37" s="37" t="s">
        <v>1356</v>
      </c>
      <c r="G37" s="6">
        <v>4.3</v>
      </c>
    </row>
    <row r="38" spans="1:7" ht="15" customHeight="1">
      <c r="A38" s="37" t="s">
        <v>950</v>
      </c>
      <c r="B38" s="37" t="s">
        <v>949</v>
      </c>
      <c r="C38" s="6">
        <v>3</v>
      </c>
      <c r="D38" s="6">
        <v>2015</v>
      </c>
      <c r="E38" s="37" t="s">
        <v>1320</v>
      </c>
      <c r="F38" s="37" t="s">
        <v>1357</v>
      </c>
      <c r="G38" s="6">
        <v>4.5999999999999996</v>
      </c>
    </row>
    <row r="39" spans="1:7" ht="15" customHeight="1">
      <c r="A39" s="37" t="s">
        <v>950</v>
      </c>
      <c r="B39" s="37" t="s">
        <v>949</v>
      </c>
      <c r="C39" s="6">
        <v>3</v>
      </c>
      <c r="D39" s="6">
        <v>2016</v>
      </c>
      <c r="E39" s="37" t="s">
        <v>1320</v>
      </c>
      <c r="F39" s="37" t="s">
        <v>1358</v>
      </c>
      <c r="G39" s="6">
        <v>4.4000000000000004</v>
      </c>
    </row>
    <row r="40" spans="1:7" ht="15" customHeight="1">
      <c r="A40" s="37" t="s">
        <v>952</v>
      </c>
      <c r="B40" s="37" t="s">
        <v>951</v>
      </c>
      <c r="C40" s="6">
        <v>3</v>
      </c>
      <c r="D40" s="6">
        <v>2015</v>
      </c>
      <c r="E40" s="37" t="s">
        <v>1320</v>
      </c>
      <c r="F40" s="37" t="s">
        <v>1359</v>
      </c>
      <c r="G40" s="6">
        <v>6.3</v>
      </c>
    </row>
    <row r="41" spans="1:7" ht="15" customHeight="1">
      <c r="A41" s="37" t="s">
        <v>952</v>
      </c>
      <c r="B41" s="37" t="s">
        <v>951</v>
      </c>
      <c r="C41" s="6">
        <v>3</v>
      </c>
      <c r="D41" s="6">
        <v>2016</v>
      </c>
      <c r="E41" s="37" t="s">
        <v>1320</v>
      </c>
      <c r="F41" s="37" t="s">
        <v>1360</v>
      </c>
      <c r="G41" s="6">
        <v>5.5</v>
      </c>
    </row>
    <row r="42" spans="1:7" ht="15" customHeight="1">
      <c r="A42" s="37" t="s">
        <v>954</v>
      </c>
      <c r="B42" s="37" t="s">
        <v>953</v>
      </c>
      <c r="C42" s="6">
        <v>3</v>
      </c>
      <c r="D42" s="6">
        <v>2015</v>
      </c>
      <c r="E42" s="37" t="s">
        <v>1320</v>
      </c>
      <c r="F42" s="37" t="s">
        <v>1361</v>
      </c>
      <c r="G42" s="6">
        <v>3.9</v>
      </c>
    </row>
    <row r="43" spans="1:7" ht="15" customHeight="1">
      <c r="A43" s="37" t="s">
        <v>954</v>
      </c>
      <c r="B43" s="37" t="s">
        <v>953</v>
      </c>
      <c r="C43" s="6">
        <v>3</v>
      </c>
      <c r="D43" s="6">
        <v>2016</v>
      </c>
      <c r="E43" s="37" t="s">
        <v>1320</v>
      </c>
      <c r="F43" s="37" t="s">
        <v>1362</v>
      </c>
      <c r="G43" s="6">
        <v>3.6</v>
      </c>
    </row>
    <row r="44" spans="1:7" ht="15" customHeight="1">
      <c r="A44" s="37" t="s">
        <v>956</v>
      </c>
      <c r="B44" s="37" t="s">
        <v>955</v>
      </c>
      <c r="C44" s="6">
        <v>3</v>
      </c>
      <c r="D44" s="6">
        <v>2015</v>
      </c>
      <c r="E44" s="37" t="s">
        <v>1320</v>
      </c>
      <c r="F44" s="37" t="s">
        <v>1363</v>
      </c>
      <c r="G44" s="6">
        <v>5.4</v>
      </c>
    </row>
    <row r="45" spans="1:7" ht="15" customHeight="1">
      <c r="A45" s="37" t="s">
        <v>956</v>
      </c>
      <c r="B45" s="37" t="s">
        <v>955</v>
      </c>
      <c r="C45" s="6">
        <v>3</v>
      </c>
      <c r="D45" s="6">
        <v>2016</v>
      </c>
      <c r="E45" s="37" t="s">
        <v>1320</v>
      </c>
      <c r="F45" s="37" t="s">
        <v>1364</v>
      </c>
      <c r="G45" s="6">
        <v>4.5999999999999996</v>
      </c>
    </row>
    <row r="46" spans="1:7" ht="15" customHeight="1">
      <c r="A46" s="37" t="s">
        <v>958</v>
      </c>
      <c r="B46" s="37" t="s">
        <v>957</v>
      </c>
      <c r="C46" s="6">
        <v>3</v>
      </c>
      <c r="D46" s="6">
        <v>2015</v>
      </c>
      <c r="E46" s="37" t="s">
        <v>1320</v>
      </c>
      <c r="F46" s="37" t="s">
        <v>1365</v>
      </c>
      <c r="G46" s="6">
        <v>5.0999999999999996</v>
      </c>
    </row>
    <row r="47" spans="1:7" ht="15" customHeight="1">
      <c r="A47" s="37" t="s">
        <v>958</v>
      </c>
      <c r="B47" s="37" t="s">
        <v>957</v>
      </c>
      <c r="C47" s="6">
        <v>3</v>
      </c>
      <c r="D47" s="6">
        <v>2016</v>
      </c>
      <c r="E47" s="37" t="s">
        <v>1320</v>
      </c>
      <c r="F47" s="37" t="s">
        <v>1366</v>
      </c>
      <c r="G47" s="6">
        <v>4.5</v>
      </c>
    </row>
    <row r="48" spans="1:7" ht="15" customHeight="1">
      <c r="A48" s="37" t="s">
        <v>966</v>
      </c>
      <c r="B48" s="37" t="s">
        <v>965</v>
      </c>
      <c r="C48" s="6">
        <v>3</v>
      </c>
      <c r="D48" s="6">
        <v>2015</v>
      </c>
      <c r="E48" s="37" t="s">
        <v>1320</v>
      </c>
      <c r="F48" s="37" t="s">
        <v>1367</v>
      </c>
      <c r="G48" s="6">
        <v>4.5</v>
      </c>
    </row>
    <row r="49" spans="1:7" ht="15" customHeight="1">
      <c r="A49" s="37" t="s">
        <v>966</v>
      </c>
      <c r="B49" s="37" t="s">
        <v>965</v>
      </c>
      <c r="C49" s="6">
        <v>3</v>
      </c>
      <c r="D49" s="6">
        <v>2016</v>
      </c>
      <c r="E49" s="37" t="s">
        <v>1320</v>
      </c>
      <c r="F49" s="37" t="s">
        <v>1368</v>
      </c>
      <c r="G49" s="6">
        <v>3.4</v>
      </c>
    </row>
    <row r="50" spans="1:7" ht="15" customHeight="1">
      <c r="A50" s="37" t="s">
        <v>970</v>
      </c>
      <c r="B50" s="37" t="s">
        <v>969</v>
      </c>
      <c r="C50" s="6">
        <v>3</v>
      </c>
      <c r="D50" s="6">
        <v>2015</v>
      </c>
      <c r="E50" s="37" t="s">
        <v>1320</v>
      </c>
      <c r="F50" s="37" t="s">
        <v>1369</v>
      </c>
      <c r="G50" s="6">
        <v>4.4000000000000004</v>
      </c>
    </row>
    <row r="51" spans="1:7" ht="15" customHeight="1">
      <c r="A51" s="37" t="s">
        <v>970</v>
      </c>
      <c r="B51" s="37" t="s">
        <v>969</v>
      </c>
      <c r="C51" s="6">
        <v>3</v>
      </c>
      <c r="D51" s="6">
        <v>2016</v>
      </c>
      <c r="E51" s="37" t="s">
        <v>1320</v>
      </c>
      <c r="F51" s="37" t="s">
        <v>1370</v>
      </c>
      <c r="G51" s="6">
        <v>4.0999999999999996</v>
      </c>
    </row>
    <row r="52" spans="1:7" ht="15" customHeight="1">
      <c r="A52" s="37" t="s">
        <v>972</v>
      </c>
      <c r="B52" s="37" t="s">
        <v>971</v>
      </c>
      <c r="C52" s="6">
        <v>3</v>
      </c>
      <c r="D52" s="6">
        <v>2015</v>
      </c>
      <c r="E52" s="37" t="s">
        <v>1320</v>
      </c>
      <c r="F52" s="37" t="s">
        <v>1371</v>
      </c>
      <c r="G52" s="6">
        <v>6</v>
      </c>
    </row>
    <row r="53" spans="1:7" ht="15" customHeight="1">
      <c r="A53" s="37" t="s">
        <v>972</v>
      </c>
      <c r="B53" s="37" t="s">
        <v>971</v>
      </c>
      <c r="C53" s="6">
        <v>3</v>
      </c>
      <c r="D53" s="6">
        <v>2016</v>
      </c>
      <c r="E53" s="37" t="s">
        <v>1320</v>
      </c>
      <c r="F53" s="37" t="s">
        <v>1372</v>
      </c>
      <c r="G53" s="6">
        <v>5.0999999999999996</v>
      </c>
    </row>
    <row r="54" spans="1:7" ht="15" customHeight="1">
      <c r="A54" s="37" t="s">
        <v>974</v>
      </c>
      <c r="B54" s="37" t="s">
        <v>973</v>
      </c>
      <c r="C54" s="6">
        <v>3</v>
      </c>
      <c r="D54" s="6">
        <v>2015</v>
      </c>
      <c r="E54" s="37" t="s">
        <v>1320</v>
      </c>
      <c r="F54" s="37" t="s">
        <v>1373</v>
      </c>
      <c r="G54" s="6">
        <v>4.3</v>
      </c>
    </row>
    <row r="55" spans="1:7" ht="15" customHeight="1">
      <c r="A55" s="37" t="s">
        <v>974</v>
      </c>
      <c r="B55" s="37" t="s">
        <v>973</v>
      </c>
      <c r="C55" s="6">
        <v>3</v>
      </c>
      <c r="D55" s="6">
        <v>2016</v>
      </c>
      <c r="E55" s="37" t="s">
        <v>1320</v>
      </c>
      <c r="F55" s="37" t="s">
        <v>1374</v>
      </c>
      <c r="G55" s="6">
        <v>4.0999999999999996</v>
      </c>
    </row>
    <row r="56" spans="1:7" ht="15" customHeight="1">
      <c r="A56" s="37" t="s">
        <v>976</v>
      </c>
      <c r="B56" s="37" t="s">
        <v>975</v>
      </c>
      <c r="C56" s="6">
        <v>3</v>
      </c>
      <c r="D56" s="6">
        <v>2015</v>
      </c>
      <c r="E56" s="37" t="s">
        <v>1320</v>
      </c>
      <c r="F56" s="37" t="s">
        <v>1375</v>
      </c>
      <c r="G56" s="6">
        <v>3.7</v>
      </c>
    </row>
    <row r="57" spans="1:7" ht="15" customHeight="1">
      <c r="A57" s="37" t="s">
        <v>976</v>
      </c>
      <c r="B57" s="37" t="s">
        <v>975</v>
      </c>
      <c r="C57" s="6">
        <v>3</v>
      </c>
      <c r="D57" s="6">
        <v>2016</v>
      </c>
      <c r="E57" s="37" t="s">
        <v>1320</v>
      </c>
      <c r="F57" s="37" t="s">
        <v>1376</v>
      </c>
      <c r="G57" s="6">
        <v>3</v>
      </c>
    </row>
    <row r="58" spans="1:7" ht="15" customHeight="1">
      <c r="A58" s="37" t="s">
        <v>978</v>
      </c>
      <c r="B58" s="37" t="s">
        <v>977</v>
      </c>
      <c r="C58" s="6">
        <v>3</v>
      </c>
      <c r="D58" s="6">
        <v>2015</v>
      </c>
      <c r="E58" s="37" t="s">
        <v>1320</v>
      </c>
      <c r="F58" s="37" t="s">
        <v>1377</v>
      </c>
      <c r="G58" s="6">
        <v>5.9</v>
      </c>
    </row>
    <row r="59" spans="1:7" ht="15" customHeight="1">
      <c r="A59" s="37" t="s">
        <v>978</v>
      </c>
      <c r="B59" s="37" t="s">
        <v>977</v>
      </c>
      <c r="C59" s="6">
        <v>3</v>
      </c>
      <c r="D59" s="6">
        <v>2016</v>
      </c>
      <c r="E59" s="37" t="s">
        <v>1320</v>
      </c>
      <c r="F59" s="37" t="s">
        <v>1378</v>
      </c>
      <c r="G59" s="6">
        <v>5</v>
      </c>
    </row>
    <row r="60" spans="1:7" ht="15" customHeight="1">
      <c r="A60" s="37" t="s">
        <v>980</v>
      </c>
      <c r="B60" s="37" t="s">
        <v>979</v>
      </c>
      <c r="C60" s="6">
        <v>3</v>
      </c>
      <c r="D60" s="6">
        <v>2015</v>
      </c>
      <c r="E60" s="37" t="s">
        <v>1320</v>
      </c>
      <c r="F60" s="37" t="s">
        <v>1379</v>
      </c>
      <c r="G60" s="6">
        <v>3.9</v>
      </c>
    </row>
    <row r="61" spans="1:7" ht="15" customHeight="1">
      <c r="A61" s="37" t="s">
        <v>980</v>
      </c>
      <c r="B61" s="37" t="s">
        <v>979</v>
      </c>
      <c r="C61" s="6">
        <v>3</v>
      </c>
      <c r="D61" s="6">
        <v>2016</v>
      </c>
      <c r="E61" s="37" t="s">
        <v>1320</v>
      </c>
      <c r="F61" s="37" t="s">
        <v>1380</v>
      </c>
      <c r="G61" s="6">
        <v>3.6</v>
      </c>
    </row>
    <row r="62" spans="1:7" ht="15" customHeight="1">
      <c r="A62" s="37" t="s">
        <v>982</v>
      </c>
      <c r="B62" s="37" t="s">
        <v>981</v>
      </c>
      <c r="C62" s="6">
        <v>3</v>
      </c>
      <c r="D62" s="6">
        <v>2015</v>
      </c>
      <c r="E62" s="37" t="s">
        <v>1320</v>
      </c>
      <c r="F62" s="37" t="s">
        <v>1381</v>
      </c>
      <c r="G62" s="6">
        <v>6.1</v>
      </c>
    </row>
    <row r="63" spans="1:7" ht="15" customHeight="1">
      <c r="A63" s="37" t="s">
        <v>982</v>
      </c>
      <c r="B63" s="37" t="s">
        <v>981</v>
      </c>
      <c r="C63" s="6">
        <v>3</v>
      </c>
      <c r="D63" s="6">
        <v>2016</v>
      </c>
      <c r="E63" s="37" t="s">
        <v>1320</v>
      </c>
      <c r="F63" s="37" t="s">
        <v>1382</v>
      </c>
      <c r="G63" s="6">
        <v>5.4</v>
      </c>
    </row>
    <row r="64" spans="1:7" ht="15" customHeight="1">
      <c r="A64" s="37" t="s">
        <v>984</v>
      </c>
      <c r="B64" s="37" t="s">
        <v>983</v>
      </c>
      <c r="C64" s="6">
        <v>3</v>
      </c>
      <c r="D64" s="6">
        <v>2015</v>
      </c>
      <c r="E64" s="37" t="s">
        <v>1320</v>
      </c>
      <c r="F64" s="37" t="s">
        <v>1383</v>
      </c>
      <c r="G64" s="6">
        <v>3.8</v>
      </c>
    </row>
    <row r="65" spans="1:7" ht="15" customHeight="1">
      <c r="A65" s="37" t="s">
        <v>984</v>
      </c>
      <c r="B65" s="37" t="s">
        <v>983</v>
      </c>
      <c r="C65" s="6">
        <v>3</v>
      </c>
      <c r="D65" s="6">
        <v>2016</v>
      </c>
      <c r="E65" s="37" t="s">
        <v>1320</v>
      </c>
      <c r="F65" s="37" t="s">
        <v>1384</v>
      </c>
      <c r="G65" s="6">
        <v>3.5</v>
      </c>
    </row>
    <row r="66" spans="1:7" ht="15" customHeight="1">
      <c r="A66" s="37" t="s">
        <v>986</v>
      </c>
      <c r="B66" s="37" t="s">
        <v>985</v>
      </c>
      <c r="C66" s="6">
        <v>3</v>
      </c>
      <c r="D66" s="6">
        <v>2015</v>
      </c>
      <c r="E66" s="37" t="s">
        <v>1320</v>
      </c>
      <c r="F66" s="37" t="s">
        <v>1385</v>
      </c>
      <c r="G66" s="6">
        <v>3.9</v>
      </c>
    </row>
    <row r="67" spans="1:7" ht="15" customHeight="1">
      <c r="A67" s="37" t="s">
        <v>986</v>
      </c>
      <c r="B67" s="37" t="s">
        <v>985</v>
      </c>
      <c r="C67" s="6">
        <v>3</v>
      </c>
      <c r="D67" s="6">
        <v>2016</v>
      </c>
      <c r="E67" s="37" t="s">
        <v>1320</v>
      </c>
      <c r="F67" s="37" t="s">
        <v>1386</v>
      </c>
      <c r="G67" s="6">
        <v>3.6</v>
      </c>
    </row>
    <row r="68" spans="1:7" ht="15" customHeight="1">
      <c r="A68" s="37" t="s">
        <v>988</v>
      </c>
      <c r="B68" s="37" t="s">
        <v>987</v>
      </c>
      <c r="C68" s="6">
        <v>3</v>
      </c>
      <c r="D68" s="6">
        <v>2015</v>
      </c>
      <c r="E68" s="37" t="s">
        <v>1320</v>
      </c>
      <c r="F68" s="37" t="s">
        <v>1387</v>
      </c>
      <c r="G68" s="6">
        <v>4.8</v>
      </c>
    </row>
    <row r="69" spans="1:7" ht="15" customHeight="1">
      <c r="A69" s="37" t="s">
        <v>988</v>
      </c>
      <c r="B69" s="37" t="s">
        <v>987</v>
      </c>
      <c r="C69" s="6">
        <v>3</v>
      </c>
      <c r="D69" s="6">
        <v>2016</v>
      </c>
      <c r="E69" s="37" t="s">
        <v>1320</v>
      </c>
      <c r="F69" s="37" t="s">
        <v>1388</v>
      </c>
      <c r="G69" s="6">
        <v>4.0999999999999996</v>
      </c>
    </row>
    <row r="70" spans="1:7" ht="15" customHeight="1">
      <c r="A70" s="37" t="s">
        <v>990</v>
      </c>
      <c r="B70" s="37" t="s">
        <v>989</v>
      </c>
      <c r="C70" s="6">
        <v>3</v>
      </c>
      <c r="D70" s="6">
        <v>2015</v>
      </c>
      <c r="E70" s="37" t="s">
        <v>1320</v>
      </c>
      <c r="F70" s="37" t="s">
        <v>1389</v>
      </c>
      <c r="G70" s="6">
        <v>4.5</v>
      </c>
    </row>
    <row r="71" spans="1:7" ht="15" customHeight="1">
      <c r="A71" s="37" t="s">
        <v>990</v>
      </c>
      <c r="B71" s="37" t="s">
        <v>989</v>
      </c>
      <c r="C71" s="6">
        <v>3</v>
      </c>
      <c r="D71" s="6">
        <v>2016</v>
      </c>
      <c r="E71" s="37" t="s">
        <v>1320</v>
      </c>
      <c r="F71" s="37" t="s">
        <v>1390</v>
      </c>
      <c r="G71" s="6">
        <v>4.0999999999999996</v>
      </c>
    </row>
    <row r="72" spans="1:7" ht="15" customHeight="1">
      <c r="A72" s="37" t="s">
        <v>992</v>
      </c>
      <c r="B72" s="37" t="s">
        <v>991</v>
      </c>
      <c r="C72" s="6">
        <v>3</v>
      </c>
      <c r="D72" s="6">
        <v>2015</v>
      </c>
      <c r="E72" s="37" t="s">
        <v>1320</v>
      </c>
      <c r="F72" s="37" t="s">
        <v>1391</v>
      </c>
      <c r="G72" s="6">
        <v>4.4000000000000004</v>
      </c>
    </row>
    <row r="73" spans="1:7" ht="15" customHeight="1">
      <c r="A73" s="37" t="s">
        <v>992</v>
      </c>
      <c r="B73" s="37" t="s">
        <v>991</v>
      </c>
      <c r="C73" s="6">
        <v>3</v>
      </c>
      <c r="D73" s="6">
        <v>2016</v>
      </c>
      <c r="E73" s="37" t="s">
        <v>1320</v>
      </c>
      <c r="F73" s="37" t="s">
        <v>1392</v>
      </c>
      <c r="G73" s="6">
        <v>4.5</v>
      </c>
    </row>
    <row r="74" spans="1:7" ht="15" customHeight="1">
      <c r="A74" s="37" t="s">
        <v>994</v>
      </c>
      <c r="B74" s="37" t="s">
        <v>993</v>
      </c>
      <c r="C74" s="6">
        <v>3</v>
      </c>
      <c r="D74" s="6">
        <v>2015</v>
      </c>
      <c r="E74" s="37" t="s">
        <v>1320</v>
      </c>
      <c r="F74" s="37" t="s">
        <v>1393</v>
      </c>
      <c r="G74" s="6">
        <v>4.8</v>
      </c>
    </row>
    <row r="75" spans="1:7" ht="15" customHeight="1">
      <c r="A75" s="37" t="s">
        <v>994</v>
      </c>
      <c r="B75" s="37" t="s">
        <v>993</v>
      </c>
      <c r="C75" s="6">
        <v>3</v>
      </c>
      <c r="D75" s="6">
        <v>2016</v>
      </c>
      <c r="E75" s="37" t="s">
        <v>1320</v>
      </c>
      <c r="F75" s="37" t="s">
        <v>1394</v>
      </c>
      <c r="G75" s="6">
        <v>4.0999999999999996</v>
      </c>
    </row>
    <row r="76" spans="1:7" ht="15" customHeight="1">
      <c r="A76" s="37" t="s">
        <v>997</v>
      </c>
      <c r="B76" s="37" t="s">
        <v>996</v>
      </c>
      <c r="C76" s="6">
        <v>3</v>
      </c>
      <c r="D76" s="6">
        <v>2015</v>
      </c>
      <c r="E76" s="37" t="s">
        <v>1320</v>
      </c>
      <c r="F76" s="37" t="s">
        <v>1395</v>
      </c>
      <c r="G76" s="6">
        <v>3.4</v>
      </c>
    </row>
    <row r="77" spans="1:7" ht="15" customHeight="1">
      <c r="A77" s="37" t="s">
        <v>997</v>
      </c>
      <c r="B77" s="37" t="s">
        <v>996</v>
      </c>
      <c r="C77" s="6">
        <v>3</v>
      </c>
      <c r="D77" s="6">
        <v>2016</v>
      </c>
      <c r="E77" s="37" t="s">
        <v>1320</v>
      </c>
      <c r="F77" s="37" t="s">
        <v>1396</v>
      </c>
      <c r="G77" s="6">
        <v>2.9</v>
      </c>
    </row>
    <row r="78" spans="1:7" ht="15" customHeight="1">
      <c r="A78" s="37" t="s">
        <v>999</v>
      </c>
      <c r="B78" s="37" t="s">
        <v>998</v>
      </c>
      <c r="C78" s="6">
        <v>3</v>
      </c>
      <c r="D78" s="6">
        <v>2015</v>
      </c>
      <c r="E78" s="37" t="s">
        <v>1320</v>
      </c>
      <c r="F78" s="37" t="s">
        <v>1397</v>
      </c>
      <c r="G78" s="6">
        <v>4.5</v>
      </c>
    </row>
    <row r="79" spans="1:7" ht="15" customHeight="1">
      <c r="A79" s="37" t="s">
        <v>999</v>
      </c>
      <c r="B79" s="37" t="s">
        <v>998</v>
      </c>
      <c r="C79" s="6">
        <v>3</v>
      </c>
      <c r="D79" s="6">
        <v>2016</v>
      </c>
      <c r="E79" s="37" t="s">
        <v>1320</v>
      </c>
      <c r="F79" s="37" t="s">
        <v>1398</v>
      </c>
      <c r="G79" s="6">
        <v>4</v>
      </c>
    </row>
    <row r="80" spans="1:7" ht="15" customHeight="1">
      <c r="A80" s="37" t="s">
        <v>1001</v>
      </c>
      <c r="B80" s="37" t="s">
        <v>1000</v>
      </c>
      <c r="C80" s="6">
        <v>3</v>
      </c>
      <c r="D80" s="6">
        <v>2015</v>
      </c>
      <c r="E80" s="37" t="s">
        <v>1320</v>
      </c>
      <c r="F80" s="37" t="s">
        <v>1399</v>
      </c>
      <c r="G80" s="6">
        <v>4.8</v>
      </c>
    </row>
    <row r="81" spans="1:7" ht="15" customHeight="1">
      <c r="A81" s="37" t="s">
        <v>1001</v>
      </c>
      <c r="B81" s="37" t="s">
        <v>1000</v>
      </c>
      <c r="C81" s="6">
        <v>3</v>
      </c>
      <c r="D81" s="6">
        <v>2016</v>
      </c>
      <c r="E81" s="37" t="s">
        <v>1320</v>
      </c>
      <c r="F81" s="37" t="s">
        <v>1400</v>
      </c>
      <c r="G81" s="6">
        <v>4.3</v>
      </c>
    </row>
    <row r="82" spans="1:7" ht="15" customHeight="1">
      <c r="A82" s="37" t="s">
        <v>1007</v>
      </c>
      <c r="B82" s="37" t="s">
        <v>1006</v>
      </c>
      <c r="C82" s="6">
        <v>3</v>
      </c>
      <c r="D82" s="6">
        <v>2015</v>
      </c>
      <c r="E82" s="37" t="s">
        <v>1320</v>
      </c>
      <c r="F82" s="37" t="s">
        <v>1401</v>
      </c>
      <c r="G82" s="6">
        <v>4.3</v>
      </c>
    </row>
    <row r="83" spans="1:7" ht="15" customHeight="1">
      <c r="A83" s="37" t="s">
        <v>1007</v>
      </c>
      <c r="B83" s="37" t="s">
        <v>1006</v>
      </c>
      <c r="C83" s="6">
        <v>3</v>
      </c>
      <c r="D83" s="6">
        <v>2016</v>
      </c>
      <c r="E83" s="37" t="s">
        <v>1320</v>
      </c>
      <c r="F83" s="37" t="s">
        <v>1402</v>
      </c>
      <c r="G83" s="6">
        <v>4.0999999999999996</v>
      </c>
    </row>
    <row r="84" spans="1:7" ht="15" customHeight="1">
      <c r="A84" s="37" t="s">
        <v>1009</v>
      </c>
      <c r="B84" s="37" t="s">
        <v>1008</v>
      </c>
      <c r="C84" s="6">
        <v>3</v>
      </c>
      <c r="D84" s="6">
        <v>2015</v>
      </c>
      <c r="E84" s="37" t="s">
        <v>1320</v>
      </c>
      <c r="F84" s="37" t="s">
        <v>1403</v>
      </c>
      <c r="G84" s="6">
        <v>4.5999999999999996</v>
      </c>
    </row>
    <row r="85" spans="1:7" ht="15" customHeight="1">
      <c r="A85" s="37" t="s">
        <v>1009</v>
      </c>
      <c r="B85" s="37" t="s">
        <v>1008</v>
      </c>
      <c r="C85" s="6">
        <v>3</v>
      </c>
      <c r="D85" s="6">
        <v>2016</v>
      </c>
      <c r="E85" s="37" t="s">
        <v>1320</v>
      </c>
      <c r="F85" s="37" t="s">
        <v>1404</v>
      </c>
      <c r="G85" s="6">
        <v>3.8</v>
      </c>
    </row>
    <row r="86" spans="1:7" ht="15" customHeight="1">
      <c r="A86" s="37" t="s">
        <v>1013</v>
      </c>
      <c r="B86" s="37" t="s">
        <v>1012</v>
      </c>
      <c r="C86" s="6">
        <v>3</v>
      </c>
      <c r="D86" s="6">
        <v>2015</v>
      </c>
      <c r="E86" s="37" t="s">
        <v>1320</v>
      </c>
      <c r="F86" s="37" t="s">
        <v>1405</v>
      </c>
      <c r="G86" s="6">
        <v>3.9</v>
      </c>
    </row>
    <row r="87" spans="1:7" ht="15" customHeight="1">
      <c r="A87" s="37" t="s">
        <v>1013</v>
      </c>
      <c r="B87" s="37" t="s">
        <v>1012</v>
      </c>
      <c r="C87" s="6">
        <v>3</v>
      </c>
      <c r="D87" s="6">
        <v>2016</v>
      </c>
      <c r="E87" s="37" t="s">
        <v>1320</v>
      </c>
      <c r="F87" s="37" t="s">
        <v>1406</v>
      </c>
      <c r="G87" s="6">
        <v>3.5</v>
      </c>
    </row>
    <row r="88" spans="1:7" ht="15" customHeight="1">
      <c r="A88" s="37" t="s">
        <v>1029</v>
      </c>
      <c r="B88" s="37" t="s">
        <v>1028</v>
      </c>
      <c r="C88" s="6">
        <v>3</v>
      </c>
      <c r="D88" s="6">
        <v>2015</v>
      </c>
      <c r="E88" s="37" t="s">
        <v>1320</v>
      </c>
      <c r="F88" s="37" t="s">
        <v>1407</v>
      </c>
      <c r="G88" s="6">
        <v>3.9</v>
      </c>
    </row>
    <row r="89" spans="1:7" ht="15" customHeight="1">
      <c r="A89" s="37" t="s">
        <v>1029</v>
      </c>
      <c r="B89" s="37" t="s">
        <v>1028</v>
      </c>
      <c r="C89" s="6">
        <v>3</v>
      </c>
      <c r="D89" s="6">
        <v>2016</v>
      </c>
      <c r="E89" s="37" t="s">
        <v>1320</v>
      </c>
      <c r="F89" s="37" t="s">
        <v>1408</v>
      </c>
      <c r="G89" s="6">
        <v>3.6</v>
      </c>
    </row>
    <row r="90" spans="1:7" ht="15" customHeight="1">
      <c r="A90" s="37" t="s">
        <v>1015</v>
      </c>
      <c r="B90" s="37" t="s">
        <v>1014</v>
      </c>
      <c r="C90" s="6">
        <v>3</v>
      </c>
      <c r="D90" s="6">
        <v>2015</v>
      </c>
      <c r="E90" s="37" t="s">
        <v>1320</v>
      </c>
      <c r="F90" s="37" t="s">
        <v>1409</v>
      </c>
      <c r="G90" s="6">
        <v>3.9</v>
      </c>
    </row>
    <row r="91" spans="1:7" ht="15" customHeight="1">
      <c r="A91" s="37" t="s">
        <v>1015</v>
      </c>
      <c r="B91" s="37" t="s">
        <v>1014</v>
      </c>
      <c r="C91" s="6">
        <v>3</v>
      </c>
      <c r="D91" s="6">
        <v>2016</v>
      </c>
      <c r="E91" s="37" t="s">
        <v>1320</v>
      </c>
      <c r="F91" s="37" t="s">
        <v>1410</v>
      </c>
      <c r="G91" s="6">
        <v>3.9</v>
      </c>
    </row>
    <row r="92" spans="1:7" ht="15" customHeight="1">
      <c r="A92" s="37" t="s">
        <v>1017</v>
      </c>
      <c r="B92" s="37" t="s">
        <v>1016</v>
      </c>
      <c r="C92" s="6">
        <v>3</v>
      </c>
      <c r="D92" s="6">
        <v>2015</v>
      </c>
      <c r="E92" s="37" t="s">
        <v>1320</v>
      </c>
      <c r="F92" s="37" t="s">
        <v>1411</v>
      </c>
      <c r="G92" s="6">
        <v>5</v>
      </c>
    </row>
    <row r="93" spans="1:7" ht="15" customHeight="1">
      <c r="A93" s="37" t="s">
        <v>1017</v>
      </c>
      <c r="B93" s="37" t="s">
        <v>1016</v>
      </c>
      <c r="C93" s="6">
        <v>3</v>
      </c>
      <c r="D93" s="6">
        <v>2016</v>
      </c>
      <c r="E93" s="37" t="s">
        <v>1320</v>
      </c>
      <c r="F93" s="37" t="s">
        <v>1412</v>
      </c>
      <c r="G93" s="6">
        <v>4.5999999999999996</v>
      </c>
    </row>
    <row r="94" spans="1:7" ht="15" customHeight="1">
      <c r="A94" s="37" t="s">
        <v>1019</v>
      </c>
      <c r="B94" s="37" t="s">
        <v>1018</v>
      </c>
      <c r="C94" s="6">
        <v>3</v>
      </c>
      <c r="D94" s="6">
        <v>2015</v>
      </c>
      <c r="E94" s="37" t="s">
        <v>1320</v>
      </c>
      <c r="F94" s="37" t="s">
        <v>1413</v>
      </c>
      <c r="G94" s="6">
        <v>4.4000000000000004</v>
      </c>
    </row>
    <row r="95" spans="1:7" ht="15" customHeight="1">
      <c r="A95" s="37" t="s">
        <v>1019</v>
      </c>
      <c r="B95" s="37" t="s">
        <v>1018</v>
      </c>
      <c r="C95" s="6">
        <v>3</v>
      </c>
      <c r="D95" s="6">
        <v>2016</v>
      </c>
      <c r="E95" s="37" t="s">
        <v>1320</v>
      </c>
      <c r="F95" s="37" t="s">
        <v>1414</v>
      </c>
      <c r="G95" s="6">
        <v>4.2</v>
      </c>
    </row>
    <row r="96" spans="1:7" ht="15" customHeight="1">
      <c r="A96" s="37" t="s">
        <v>1021</v>
      </c>
      <c r="B96" s="37" t="s">
        <v>1020</v>
      </c>
      <c r="C96" s="6">
        <v>3</v>
      </c>
      <c r="D96" s="6">
        <v>2015</v>
      </c>
      <c r="E96" s="37" t="s">
        <v>1320</v>
      </c>
      <c r="F96" s="37" t="s">
        <v>1415</v>
      </c>
      <c r="G96" s="6">
        <v>7.4</v>
      </c>
    </row>
    <row r="97" spans="1:7" ht="15" customHeight="1">
      <c r="A97" s="37" t="s">
        <v>1021</v>
      </c>
      <c r="B97" s="37" t="s">
        <v>1020</v>
      </c>
      <c r="C97" s="6">
        <v>3</v>
      </c>
      <c r="D97" s="6">
        <v>2016</v>
      </c>
      <c r="E97" s="37" t="s">
        <v>1320</v>
      </c>
      <c r="F97" s="37" t="s">
        <v>1416</v>
      </c>
      <c r="G97" s="6">
        <v>6.6</v>
      </c>
    </row>
    <row r="98" spans="1:7" ht="15" customHeight="1">
      <c r="A98" s="37" t="s">
        <v>1023</v>
      </c>
      <c r="B98" s="37" t="s">
        <v>1022</v>
      </c>
      <c r="C98" s="6">
        <v>3</v>
      </c>
      <c r="D98" s="6">
        <v>2015</v>
      </c>
      <c r="E98" s="37" t="s">
        <v>1320</v>
      </c>
      <c r="F98" s="37" t="s">
        <v>1417</v>
      </c>
      <c r="G98" s="6">
        <v>6.4</v>
      </c>
    </row>
    <row r="99" spans="1:7" ht="15" customHeight="1">
      <c r="A99" s="37" t="s">
        <v>1023</v>
      </c>
      <c r="B99" s="37" t="s">
        <v>1022</v>
      </c>
      <c r="C99" s="6">
        <v>3</v>
      </c>
      <c r="D99" s="6">
        <v>2016</v>
      </c>
      <c r="E99" s="37" t="s">
        <v>1320</v>
      </c>
      <c r="F99" s="37" t="s">
        <v>1418</v>
      </c>
      <c r="G99" s="6">
        <v>5.7</v>
      </c>
    </row>
    <row r="100" spans="1:7" ht="15" customHeight="1">
      <c r="A100" s="37" t="s">
        <v>1025</v>
      </c>
      <c r="B100" s="37" t="s">
        <v>1024</v>
      </c>
      <c r="C100" s="6">
        <v>3</v>
      </c>
      <c r="D100" s="6">
        <v>2015</v>
      </c>
      <c r="E100" s="37" t="s">
        <v>1320</v>
      </c>
      <c r="F100" s="37" t="s">
        <v>1419</v>
      </c>
      <c r="G100" s="6">
        <v>5.2</v>
      </c>
    </row>
    <row r="101" spans="1:7" ht="15" customHeight="1">
      <c r="A101" s="37" t="s">
        <v>1025</v>
      </c>
      <c r="B101" s="37" t="s">
        <v>1024</v>
      </c>
      <c r="C101" s="6">
        <v>3</v>
      </c>
      <c r="D101" s="6">
        <v>2016</v>
      </c>
      <c r="E101" s="37" t="s">
        <v>1320</v>
      </c>
      <c r="F101" s="37" t="s">
        <v>1420</v>
      </c>
      <c r="G101" s="6">
        <v>4.5999999999999996</v>
      </c>
    </row>
    <row r="102" spans="1:7" ht="15" customHeight="1">
      <c r="A102" s="37" t="s">
        <v>1031</v>
      </c>
      <c r="B102" s="37" t="s">
        <v>1030</v>
      </c>
      <c r="C102" s="6">
        <v>3</v>
      </c>
      <c r="D102" s="6">
        <v>2015</v>
      </c>
      <c r="E102" s="37" t="s">
        <v>1320</v>
      </c>
      <c r="F102" s="37" t="s">
        <v>1421</v>
      </c>
      <c r="G102" s="6">
        <v>4</v>
      </c>
    </row>
    <row r="103" spans="1:7" ht="15" customHeight="1">
      <c r="A103" s="37" t="s">
        <v>1031</v>
      </c>
      <c r="B103" s="37" t="s">
        <v>1030</v>
      </c>
      <c r="C103" s="6">
        <v>3</v>
      </c>
      <c r="D103" s="6">
        <v>2016</v>
      </c>
      <c r="E103" s="37" t="s">
        <v>1320</v>
      </c>
      <c r="F103" s="37" t="s">
        <v>1422</v>
      </c>
      <c r="G103" s="6">
        <v>3.6</v>
      </c>
    </row>
    <row r="104" spans="1:7" ht="15" customHeight="1">
      <c r="A104" s="37" t="s">
        <v>1027</v>
      </c>
      <c r="B104" s="37" t="s">
        <v>1026</v>
      </c>
      <c r="C104" s="6">
        <v>3</v>
      </c>
      <c r="D104" s="6">
        <v>2015</v>
      </c>
      <c r="E104" s="37" t="s">
        <v>1320</v>
      </c>
      <c r="F104" s="37" t="s">
        <v>1423</v>
      </c>
      <c r="G104" s="6">
        <v>5.8</v>
      </c>
    </row>
    <row r="105" spans="1:7" ht="15" customHeight="1">
      <c r="A105" s="37" t="s">
        <v>1027</v>
      </c>
      <c r="B105" s="37" t="s">
        <v>1026</v>
      </c>
      <c r="C105" s="6">
        <v>3</v>
      </c>
      <c r="D105" s="6">
        <v>2016</v>
      </c>
      <c r="E105" s="37" t="s">
        <v>1320</v>
      </c>
      <c r="F105" s="37" t="s">
        <v>1424</v>
      </c>
      <c r="G105" s="6">
        <v>5.4</v>
      </c>
    </row>
    <row r="106" spans="1:7" ht="15" customHeight="1">
      <c r="A106" s="37" t="s">
        <v>1033</v>
      </c>
      <c r="B106" s="37" t="s">
        <v>1032</v>
      </c>
      <c r="C106" s="6">
        <v>3</v>
      </c>
      <c r="D106" s="6">
        <v>2015</v>
      </c>
      <c r="E106" s="37" t="s">
        <v>1320</v>
      </c>
      <c r="F106" s="37" t="s">
        <v>1425</v>
      </c>
      <c r="G106" s="6">
        <v>4.8</v>
      </c>
    </row>
    <row r="107" spans="1:7" ht="15" customHeight="1">
      <c r="A107" s="37" t="s">
        <v>1033</v>
      </c>
      <c r="B107" s="37" t="s">
        <v>1032</v>
      </c>
      <c r="C107" s="6">
        <v>3</v>
      </c>
      <c r="D107" s="6">
        <v>2016</v>
      </c>
      <c r="E107" s="37" t="s">
        <v>1320</v>
      </c>
      <c r="F107" s="37" t="s">
        <v>1426</v>
      </c>
      <c r="G107" s="6">
        <v>4.2</v>
      </c>
    </row>
    <row r="108" spans="1:7" ht="15" customHeight="1">
      <c r="A108" s="37" t="s">
        <v>1035</v>
      </c>
      <c r="B108" s="37" t="s">
        <v>1034</v>
      </c>
      <c r="C108" s="6">
        <v>3</v>
      </c>
      <c r="D108" s="6">
        <v>2015</v>
      </c>
      <c r="E108" s="37" t="s">
        <v>1320</v>
      </c>
      <c r="F108" s="37" t="s">
        <v>1427</v>
      </c>
      <c r="G108" s="6">
        <v>5.6</v>
      </c>
    </row>
    <row r="109" spans="1:7" ht="15" customHeight="1">
      <c r="A109" s="37" t="s">
        <v>1035</v>
      </c>
      <c r="B109" s="37" t="s">
        <v>1034</v>
      </c>
      <c r="C109" s="6">
        <v>3</v>
      </c>
      <c r="D109" s="6">
        <v>2016</v>
      </c>
      <c r="E109" s="37" t="s">
        <v>1320</v>
      </c>
      <c r="F109" s="37" t="s">
        <v>1428</v>
      </c>
      <c r="G109" s="6">
        <v>5.5</v>
      </c>
    </row>
    <row r="110" spans="1:7" ht="15" customHeight="1">
      <c r="A110" s="37" t="s">
        <v>1037</v>
      </c>
      <c r="B110" s="37" t="s">
        <v>1036</v>
      </c>
      <c r="C110" s="6">
        <v>3</v>
      </c>
      <c r="D110" s="6">
        <v>2015</v>
      </c>
      <c r="E110" s="37" t="s">
        <v>1320</v>
      </c>
      <c r="F110" s="37" t="s">
        <v>1429</v>
      </c>
      <c r="G110" s="6">
        <v>4.8</v>
      </c>
    </row>
    <row r="111" spans="1:7" ht="15" customHeight="1">
      <c r="A111" s="37" t="s">
        <v>1037</v>
      </c>
      <c r="B111" s="37" t="s">
        <v>1036</v>
      </c>
      <c r="C111" s="6">
        <v>3</v>
      </c>
      <c r="D111" s="6">
        <v>2016</v>
      </c>
      <c r="E111" s="37" t="s">
        <v>1320</v>
      </c>
      <c r="F111" s="37" t="s">
        <v>1430</v>
      </c>
      <c r="G111" s="6">
        <v>4</v>
      </c>
    </row>
    <row r="112" spans="1:7" ht="15" customHeight="1">
      <c r="A112" s="37" t="s">
        <v>1041</v>
      </c>
      <c r="B112" s="37" t="s">
        <v>1040</v>
      </c>
      <c r="C112" s="6">
        <v>3</v>
      </c>
      <c r="D112" s="6">
        <v>2015</v>
      </c>
      <c r="E112" s="37" t="s">
        <v>1320</v>
      </c>
      <c r="F112" s="37" t="s">
        <v>1431</v>
      </c>
      <c r="G112" s="6">
        <v>4.7</v>
      </c>
    </row>
    <row r="113" spans="1:7" ht="15" customHeight="1">
      <c r="A113" s="37" t="s">
        <v>1041</v>
      </c>
      <c r="B113" s="37" t="s">
        <v>1040</v>
      </c>
      <c r="C113" s="6">
        <v>3</v>
      </c>
      <c r="D113" s="6">
        <v>2016</v>
      </c>
      <c r="E113" s="37" t="s">
        <v>1320</v>
      </c>
      <c r="F113" s="37" t="s">
        <v>1432</v>
      </c>
      <c r="G113" s="6">
        <v>4.3</v>
      </c>
    </row>
    <row r="114" spans="1:7" ht="15" customHeight="1">
      <c r="A114" s="37" t="s">
        <v>1043</v>
      </c>
      <c r="B114" s="37" t="s">
        <v>1042</v>
      </c>
      <c r="C114" s="6">
        <v>3</v>
      </c>
      <c r="D114" s="6">
        <v>2015</v>
      </c>
      <c r="E114" s="37" t="s">
        <v>1320</v>
      </c>
      <c r="F114" s="37" t="s">
        <v>1433</v>
      </c>
      <c r="G114" s="6">
        <v>3.9</v>
      </c>
    </row>
    <row r="115" spans="1:7" ht="15" customHeight="1">
      <c r="A115" s="37" t="s">
        <v>1043</v>
      </c>
      <c r="B115" s="37" t="s">
        <v>1042</v>
      </c>
      <c r="C115" s="6">
        <v>3</v>
      </c>
      <c r="D115" s="6">
        <v>2016</v>
      </c>
      <c r="E115" s="37" t="s">
        <v>1320</v>
      </c>
      <c r="F115" s="37" t="s">
        <v>1434</v>
      </c>
      <c r="G115" s="6">
        <v>3.6</v>
      </c>
    </row>
    <row r="116" spans="1:7" ht="15" customHeight="1">
      <c r="A116" s="37" t="s">
        <v>1045</v>
      </c>
      <c r="B116" s="37" t="s">
        <v>1044</v>
      </c>
      <c r="C116" s="6">
        <v>3</v>
      </c>
      <c r="D116" s="6">
        <v>2015</v>
      </c>
      <c r="E116" s="37" t="s">
        <v>1320</v>
      </c>
      <c r="F116" s="37" t="s">
        <v>1435</v>
      </c>
      <c r="G116" s="6">
        <v>5.4</v>
      </c>
    </row>
    <row r="117" spans="1:7" ht="15" customHeight="1">
      <c r="A117" s="37" t="s">
        <v>1045</v>
      </c>
      <c r="B117" s="37" t="s">
        <v>1044</v>
      </c>
      <c r="C117" s="6">
        <v>3</v>
      </c>
      <c r="D117" s="6">
        <v>2016</v>
      </c>
      <c r="E117" s="37" t="s">
        <v>1320</v>
      </c>
      <c r="F117" s="37" t="s">
        <v>1436</v>
      </c>
      <c r="G117" s="6">
        <v>4.4000000000000004</v>
      </c>
    </row>
    <row r="118" spans="1:7" ht="15" customHeight="1">
      <c r="A118" s="37" t="s">
        <v>1047</v>
      </c>
      <c r="B118" s="37" t="s">
        <v>1046</v>
      </c>
      <c r="C118" s="6">
        <v>3</v>
      </c>
      <c r="D118" s="6">
        <v>2015</v>
      </c>
      <c r="E118" s="37" t="s">
        <v>1320</v>
      </c>
      <c r="F118" s="37" t="s">
        <v>1437</v>
      </c>
      <c r="G118" s="6">
        <v>3.8</v>
      </c>
    </row>
    <row r="119" spans="1:7" ht="15" customHeight="1">
      <c r="A119" s="37" t="s">
        <v>1047</v>
      </c>
      <c r="B119" s="37" t="s">
        <v>1046</v>
      </c>
      <c r="C119" s="6">
        <v>3</v>
      </c>
      <c r="D119" s="6">
        <v>2016</v>
      </c>
      <c r="E119" s="37" t="s">
        <v>1320</v>
      </c>
      <c r="F119" s="37" t="s">
        <v>1438</v>
      </c>
      <c r="G119" s="6">
        <v>3.5</v>
      </c>
    </row>
    <row r="120" spans="1:7" ht="15" customHeight="1">
      <c r="A120" s="37" t="s">
        <v>1049</v>
      </c>
      <c r="B120" s="37" t="s">
        <v>1048</v>
      </c>
      <c r="C120" s="6">
        <v>3</v>
      </c>
      <c r="D120" s="6">
        <v>2015</v>
      </c>
      <c r="E120" s="37" t="s">
        <v>1320</v>
      </c>
      <c r="F120" s="37" t="s">
        <v>1439</v>
      </c>
      <c r="G120" s="6">
        <v>4.5999999999999996</v>
      </c>
    </row>
    <row r="121" spans="1:7" ht="15" customHeight="1">
      <c r="A121" s="37" t="s">
        <v>1049</v>
      </c>
      <c r="B121" s="37" t="s">
        <v>1048</v>
      </c>
      <c r="C121" s="6">
        <v>3</v>
      </c>
      <c r="D121" s="6">
        <v>2016</v>
      </c>
      <c r="E121" s="37" t="s">
        <v>1320</v>
      </c>
      <c r="F121" s="37" t="s">
        <v>1440</v>
      </c>
      <c r="G121" s="6">
        <v>4.2</v>
      </c>
    </row>
    <row r="122" spans="1:7" ht="15" customHeight="1">
      <c r="A122" s="37" t="s">
        <v>1051</v>
      </c>
      <c r="B122" s="37" t="s">
        <v>1050</v>
      </c>
      <c r="C122" s="6">
        <v>3</v>
      </c>
      <c r="D122" s="6">
        <v>2015</v>
      </c>
      <c r="E122" s="37" t="s">
        <v>1320</v>
      </c>
      <c r="F122" s="37" t="s">
        <v>1441</v>
      </c>
      <c r="G122" s="6">
        <v>4</v>
      </c>
    </row>
    <row r="123" spans="1:7" ht="15" customHeight="1">
      <c r="A123" s="37" t="s">
        <v>1051</v>
      </c>
      <c r="B123" s="37" t="s">
        <v>1050</v>
      </c>
      <c r="C123" s="6">
        <v>3</v>
      </c>
      <c r="D123" s="6">
        <v>2016</v>
      </c>
      <c r="E123" s="37" t="s">
        <v>1320</v>
      </c>
      <c r="F123" s="37" t="s">
        <v>1442</v>
      </c>
      <c r="G123" s="6">
        <v>3.6</v>
      </c>
    </row>
    <row r="124" spans="1:7" ht="15" customHeight="1">
      <c r="A124" s="37" t="s">
        <v>1053</v>
      </c>
      <c r="B124" s="37" t="s">
        <v>1052</v>
      </c>
      <c r="C124" s="6">
        <v>3</v>
      </c>
      <c r="D124" s="6">
        <v>2015</v>
      </c>
      <c r="E124" s="37" t="s">
        <v>1320</v>
      </c>
      <c r="F124" s="37" t="s">
        <v>1443</v>
      </c>
      <c r="G124" s="6">
        <v>4.0999999999999996</v>
      </c>
    </row>
    <row r="125" spans="1:7" ht="15" customHeight="1">
      <c r="A125" s="37" t="s">
        <v>1053</v>
      </c>
      <c r="B125" s="37" t="s">
        <v>1052</v>
      </c>
      <c r="C125" s="6">
        <v>3</v>
      </c>
      <c r="D125" s="6">
        <v>2016</v>
      </c>
      <c r="E125" s="37" t="s">
        <v>1320</v>
      </c>
      <c r="F125" s="37" t="s">
        <v>1444</v>
      </c>
      <c r="G125" s="6">
        <v>3.8</v>
      </c>
    </row>
    <row r="126" spans="1:7" ht="15" customHeight="1">
      <c r="A126" s="37" t="s">
        <v>1055</v>
      </c>
      <c r="B126" s="37" t="s">
        <v>1054</v>
      </c>
      <c r="C126" s="6">
        <v>3</v>
      </c>
      <c r="D126" s="6">
        <v>2015</v>
      </c>
      <c r="E126" s="37" t="s">
        <v>1320</v>
      </c>
      <c r="F126" s="37" t="s">
        <v>1445</v>
      </c>
      <c r="G126" s="6">
        <v>7</v>
      </c>
    </row>
    <row r="127" spans="1:7" ht="15" customHeight="1">
      <c r="A127" s="37" t="s">
        <v>1055</v>
      </c>
      <c r="B127" s="37" t="s">
        <v>1054</v>
      </c>
      <c r="C127" s="6">
        <v>3</v>
      </c>
      <c r="D127" s="6">
        <v>2016</v>
      </c>
      <c r="E127" s="37" t="s">
        <v>1320</v>
      </c>
      <c r="F127" s="37" t="s">
        <v>1446</v>
      </c>
      <c r="G127" s="6">
        <v>6.2</v>
      </c>
    </row>
    <row r="128" spans="1:7" ht="15" customHeight="1">
      <c r="A128" s="37" t="s">
        <v>1057</v>
      </c>
      <c r="B128" s="37" t="s">
        <v>1056</v>
      </c>
      <c r="C128" s="6">
        <v>3</v>
      </c>
      <c r="D128" s="6">
        <v>2015</v>
      </c>
      <c r="E128" s="37" t="s">
        <v>1320</v>
      </c>
      <c r="F128" s="37" t="s">
        <v>1447</v>
      </c>
      <c r="G128" s="6">
        <v>5.3</v>
      </c>
    </row>
    <row r="129" spans="1:7" ht="15" customHeight="1">
      <c r="A129" s="37" t="s">
        <v>1057</v>
      </c>
      <c r="B129" s="37" t="s">
        <v>1056</v>
      </c>
      <c r="C129" s="6">
        <v>3</v>
      </c>
      <c r="D129" s="6">
        <v>2016</v>
      </c>
      <c r="E129" s="37" t="s">
        <v>1320</v>
      </c>
      <c r="F129" s="37" t="s">
        <v>1448</v>
      </c>
      <c r="G129" s="6">
        <v>4.5</v>
      </c>
    </row>
    <row r="130" spans="1:7" ht="15" customHeight="1">
      <c r="A130" s="37" t="s">
        <v>1059</v>
      </c>
      <c r="B130" s="37" t="s">
        <v>1058</v>
      </c>
      <c r="C130" s="6">
        <v>3</v>
      </c>
      <c r="D130" s="6">
        <v>2015</v>
      </c>
      <c r="E130" s="37" t="s">
        <v>1320</v>
      </c>
      <c r="F130" s="37" t="s">
        <v>1449</v>
      </c>
      <c r="G130" s="6">
        <v>3.9</v>
      </c>
    </row>
    <row r="131" spans="1:7" ht="15" customHeight="1">
      <c r="A131" s="37" t="s">
        <v>1059</v>
      </c>
      <c r="B131" s="37" t="s">
        <v>1058</v>
      </c>
      <c r="C131" s="6">
        <v>3</v>
      </c>
      <c r="D131" s="6">
        <v>2016</v>
      </c>
      <c r="E131" s="37" t="s">
        <v>1320</v>
      </c>
      <c r="F131" s="37" t="s">
        <v>1450</v>
      </c>
      <c r="G131" s="6">
        <v>3.4</v>
      </c>
    </row>
    <row r="132" spans="1:7" ht="15" customHeight="1">
      <c r="A132" s="37" t="s">
        <v>1061</v>
      </c>
      <c r="B132" s="37" t="s">
        <v>1060</v>
      </c>
      <c r="C132" s="6">
        <v>3</v>
      </c>
      <c r="D132" s="6">
        <v>2015</v>
      </c>
      <c r="E132" s="37" t="s">
        <v>1320</v>
      </c>
      <c r="F132" s="37" t="s">
        <v>1451</v>
      </c>
      <c r="G132" s="6">
        <v>4.0999999999999996</v>
      </c>
    </row>
    <row r="133" spans="1:7" ht="15" customHeight="1">
      <c r="A133" s="37" t="s">
        <v>1061</v>
      </c>
      <c r="B133" s="37" t="s">
        <v>1060</v>
      </c>
      <c r="C133" s="6">
        <v>3</v>
      </c>
      <c r="D133" s="6">
        <v>2016</v>
      </c>
      <c r="E133" s="37" t="s">
        <v>1320</v>
      </c>
      <c r="F133" s="37" t="s">
        <v>1452</v>
      </c>
      <c r="G133" s="6">
        <v>3.5</v>
      </c>
    </row>
    <row r="134" spans="1:7" ht="15" customHeight="1">
      <c r="A134" s="37" t="s">
        <v>1063</v>
      </c>
      <c r="B134" s="37" t="s">
        <v>1062</v>
      </c>
      <c r="C134" s="6">
        <v>3</v>
      </c>
      <c r="D134" s="6">
        <v>2015</v>
      </c>
      <c r="E134" s="37" t="s">
        <v>1320</v>
      </c>
      <c r="F134" s="37" t="s">
        <v>1453</v>
      </c>
      <c r="G134" s="6">
        <v>5.0999999999999996</v>
      </c>
    </row>
    <row r="135" spans="1:7" ht="15" customHeight="1">
      <c r="A135" s="37" t="s">
        <v>1063</v>
      </c>
      <c r="B135" s="37" t="s">
        <v>1062</v>
      </c>
      <c r="C135" s="6">
        <v>3</v>
      </c>
      <c r="D135" s="6">
        <v>2016</v>
      </c>
      <c r="E135" s="37" t="s">
        <v>1320</v>
      </c>
      <c r="F135" s="37" t="s">
        <v>1454</v>
      </c>
      <c r="G135" s="6">
        <v>4.5999999999999996</v>
      </c>
    </row>
    <row r="136" spans="1:7" ht="15" customHeight="1">
      <c r="A136" s="37" t="s">
        <v>1065</v>
      </c>
      <c r="B136" s="37" t="s">
        <v>1064</v>
      </c>
      <c r="C136" s="6">
        <v>3</v>
      </c>
      <c r="D136" s="6">
        <v>2015</v>
      </c>
      <c r="E136" s="37" t="s">
        <v>1320</v>
      </c>
      <c r="F136" s="37" t="s">
        <v>1455</v>
      </c>
      <c r="G136" s="6">
        <v>5.3</v>
      </c>
    </row>
    <row r="137" spans="1:7" ht="15" customHeight="1">
      <c r="A137" s="37" t="s">
        <v>1065</v>
      </c>
      <c r="B137" s="37" t="s">
        <v>1064</v>
      </c>
      <c r="C137" s="6">
        <v>3</v>
      </c>
      <c r="D137" s="6">
        <v>2016</v>
      </c>
      <c r="E137" s="37" t="s">
        <v>1320</v>
      </c>
      <c r="F137" s="37" t="s">
        <v>1456</v>
      </c>
      <c r="G137" s="6">
        <v>5</v>
      </c>
    </row>
    <row r="138" spans="1:7" ht="15" customHeight="1">
      <c r="A138" s="37" t="s">
        <v>1075</v>
      </c>
      <c r="B138" s="37" t="s">
        <v>1074</v>
      </c>
      <c r="C138" s="6">
        <v>3</v>
      </c>
      <c r="D138" s="6">
        <v>2015</v>
      </c>
      <c r="E138" s="37" t="s">
        <v>1320</v>
      </c>
      <c r="F138" s="37" t="s">
        <v>1457</v>
      </c>
      <c r="G138" s="6">
        <v>4.7</v>
      </c>
    </row>
    <row r="139" spans="1:7" ht="15" customHeight="1">
      <c r="A139" s="37" t="s">
        <v>1075</v>
      </c>
      <c r="B139" s="37" t="s">
        <v>1074</v>
      </c>
      <c r="C139" s="6">
        <v>3</v>
      </c>
      <c r="D139" s="6">
        <v>2016</v>
      </c>
      <c r="E139" s="37" t="s">
        <v>1320</v>
      </c>
      <c r="F139" s="37" t="s">
        <v>1458</v>
      </c>
      <c r="G139" s="6">
        <v>4</v>
      </c>
    </row>
    <row r="140" spans="1:7" ht="15" customHeight="1">
      <c r="A140" s="37" t="s">
        <v>1077</v>
      </c>
      <c r="B140" s="37" t="s">
        <v>1076</v>
      </c>
      <c r="C140" s="6">
        <v>3</v>
      </c>
      <c r="D140" s="6">
        <v>2015</v>
      </c>
      <c r="E140" s="37" t="s">
        <v>1320</v>
      </c>
      <c r="F140" s="37" t="s">
        <v>1459</v>
      </c>
      <c r="G140" s="6">
        <v>4.3</v>
      </c>
    </row>
    <row r="141" spans="1:7" ht="15" customHeight="1">
      <c r="A141" s="37" t="s">
        <v>1077</v>
      </c>
      <c r="B141" s="37" t="s">
        <v>1076</v>
      </c>
      <c r="C141" s="6">
        <v>3</v>
      </c>
      <c r="D141" s="6">
        <v>2016</v>
      </c>
      <c r="E141" s="37" t="s">
        <v>1320</v>
      </c>
      <c r="F141" s="37" t="s">
        <v>1460</v>
      </c>
      <c r="G141" s="6">
        <v>4.0999999999999996</v>
      </c>
    </row>
    <row r="142" spans="1:7" ht="15" customHeight="1">
      <c r="A142" s="37" t="s">
        <v>1079</v>
      </c>
      <c r="B142" s="37" t="s">
        <v>1078</v>
      </c>
      <c r="C142" s="6">
        <v>3</v>
      </c>
      <c r="D142" s="6">
        <v>2015</v>
      </c>
      <c r="E142" s="37" t="s">
        <v>1320</v>
      </c>
      <c r="F142" s="37" t="s">
        <v>1461</v>
      </c>
      <c r="G142" s="6">
        <v>4</v>
      </c>
    </row>
    <row r="143" spans="1:7" ht="15" customHeight="1">
      <c r="A143" s="37" t="s">
        <v>1079</v>
      </c>
      <c r="B143" s="37" t="s">
        <v>1078</v>
      </c>
      <c r="C143" s="6">
        <v>3</v>
      </c>
      <c r="D143" s="6">
        <v>2016</v>
      </c>
      <c r="E143" s="37" t="s">
        <v>1320</v>
      </c>
      <c r="F143" s="37" t="s">
        <v>1462</v>
      </c>
      <c r="G143" s="6">
        <v>3.5</v>
      </c>
    </row>
    <row r="144" spans="1:7" ht="15" customHeight="1">
      <c r="A144" s="37" t="s">
        <v>1081</v>
      </c>
      <c r="B144" s="37" t="s">
        <v>1080</v>
      </c>
      <c r="C144" s="6">
        <v>3</v>
      </c>
      <c r="D144" s="6">
        <v>2015</v>
      </c>
      <c r="E144" s="37" t="s">
        <v>1320</v>
      </c>
      <c r="F144" s="37" t="s">
        <v>1463</v>
      </c>
      <c r="G144" s="6">
        <v>4.2</v>
      </c>
    </row>
    <row r="145" spans="1:7" ht="15" customHeight="1">
      <c r="A145" s="37" t="s">
        <v>1081</v>
      </c>
      <c r="B145" s="37" t="s">
        <v>1080</v>
      </c>
      <c r="C145" s="6">
        <v>3</v>
      </c>
      <c r="D145" s="6">
        <v>2016</v>
      </c>
      <c r="E145" s="37" t="s">
        <v>1320</v>
      </c>
      <c r="F145" s="37" t="s">
        <v>1464</v>
      </c>
      <c r="G145" s="6">
        <v>3.9</v>
      </c>
    </row>
    <row r="146" spans="1:7" ht="15" customHeight="1">
      <c r="A146" s="37" t="s">
        <v>1083</v>
      </c>
      <c r="B146" s="37" t="s">
        <v>1082</v>
      </c>
      <c r="C146" s="6">
        <v>3</v>
      </c>
      <c r="D146" s="6">
        <v>2015</v>
      </c>
      <c r="E146" s="37" t="s">
        <v>1320</v>
      </c>
      <c r="F146" s="37" t="s">
        <v>1465</v>
      </c>
      <c r="G146" s="6">
        <v>7</v>
      </c>
    </row>
    <row r="147" spans="1:7" ht="15" customHeight="1">
      <c r="A147" s="37" t="s">
        <v>1083</v>
      </c>
      <c r="B147" s="37" t="s">
        <v>1082</v>
      </c>
      <c r="C147" s="6">
        <v>3</v>
      </c>
      <c r="D147" s="6">
        <v>2016</v>
      </c>
      <c r="E147" s="37" t="s">
        <v>1320</v>
      </c>
      <c r="F147" s="37" t="s">
        <v>1466</v>
      </c>
      <c r="G147" s="6">
        <v>6</v>
      </c>
    </row>
    <row r="148" spans="1:7" ht="15" customHeight="1">
      <c r="A148" s="37" t="s">
        <v>1085</v>
      </c>
      <c r="B148" s="37" t="s">
        <v>1084</v>
      </c>
      <c r="C148" s="6">
        <v>3</v>
      </c>
      <c r="D148" s="6">
        <v>2015</v>
      </c>
      <c r="E148" s="37" t="s">
        <v>1320</v>
      </c>
      <c r="F148" s="37" t="s">
        <v>1467</v>
      </c>
      <c r="G148" s="6">
        <v>3.9</v>
      </c>
    </row>
    <row r="149" spans="1:7" ht="15" customHeight="1">
      <c r="A149" s="37" t="s">
        <v>1085</v>
      </c>
      <c r="B149" s="37" t="s">
        <v>1084</v>
      </c>
      <c r="C149" s="6">
        <v>3</v>
      </c>
      <c r="D149" s="6">
        <v>2016</v>
      </c>
      <c r="E149" s="37" t="s">
        <v>1320</v>
      </c>
      <c r="F149" s="37" t="s">
        <v>1468</v>
      </c>
      <c r="G149" s="6">
        <v>3.4</v>
      </c>
    </row>
    <row r="150" spans="1:7" ht="15" customHeight="1">
      <c r="A150" s="37" t="s">
        <v>1087</v>
      </c>
      <c r="B150" s="37" t="s">
        <v>1086</v>
      </c>
      <c r="C150" s="6">
        <v>3</v>
      </c>
      <c r="D150" s="6">
        <v>2015</v>
      </c>
      <c r="E150" s="37" t="s">
        <v>1320</v>
      </c>
      <c r="F150" s="37" t="s">
        <v>1469</v>
      </c>
      <c r="G150" s="6">
        <v>4.9000000000000004</v>
      </c>
    </row>
    <row r="151" spans="1:7" ht="15" customHeight="1">
      <c r="A151" s="37" t="s">
        <v>1087</v>
      </c>
      <c r="B151" s="37" t="s">
        <v>1086</v>
      </c>
      <c r="C151" s="6">
        <v>3</v>
      </c>
      <c r="D151" s="6">
        <v>2016</v>
      </c>
      <c r="E151" s="37" t="s">
        <v>1320</v>
      </c>
      <c r="F151" s="37" t="s">
        <v>1470</v>
      </c>
      <c r="G151" s="6">
        <v>4.5</v>
      </c>
    </row>
    <row r="152" spans="1:7" ht="15" customHeight="1">
      <c r="A152" s="37" t="s">
        <v>1089</v>
      </c>
      <c r="B152" s="37" t="s">
        <v>1088</v>
      </c>
      <c r="C152" s="6">
        <v>3</v>
      </c>
      <c r="D152" s="6">
        <v>2015</v>
      </c>
      <c r="E152" s="37" t="s">
        <v>1320</v>
      </c>
      <c r="F152" s="37" t="s">
        <v>1471</v>
      </c>
      <c r="G152" s="6">
        <v>5</v>
      </c>
    </row>
    <row r="153" spans="1:7" ht="15" customHeight="1">
      <c r="A153" s="37" t="s">
        <v>1089</v>
      </c>
      <c r="B153" s="37" t="s">
        <v>1088</v>
      </c>
      <c r="C153" s="6">
        <v>3</v>
      </c>
      <c r="D153" s="6">
        <v>2016</v>
      </c>
      <c r="E153" s="37" t="s">
        <v>1320</v>
      </c>
      <c r="F153" s="37" t="s">
        <v>1472</v>
      </c>
      <c r="G153" s="6">
        <v>4.2</v>
      </c>
    </row>
    <row r="154" spans="1:7" ht="15" customHeight="1">
      <c r="A154" s="37" t="s">
        <v>1091</v>
      </c>
      <c r="B154" s="37" t="s">
        <v>1090</v>
      </c>
      <c r="C154" s="6">
        <v>3</v>
      </c>
      <c r="D154" s="6">
        <v>2015</v>
      </c>
      <c r="E154" s="37" t="s">
        <v>1320</v>
      </c>
      <c r="F154" s="37" t="s">
        <v>1473</v>
      </c>
      <c r="G154" s="6">
        <v>6.1</v>
      </c>
    </row>
    <row r="155" spans="1:7" ht="15" customHeight="1">
      <c r="A155" s="37" t="s">
        <v>1091</v>
      </c>
      <c r="B155" s="37" t="s">
        <v>1090</v>
      </c>
      <c r="C155" s="6">
        <v>3</v>
      </c>
      <c r="D155" s="6">
        <v>2016</v>
      </c>
      <c r="E155" s="37" t="s">
        <v>1320</v>
      </c>
      <c r="F155" s="37" t="s">
        <v>1474</v>
      </c>
      <c r="G155" s="6">
        <v>5.5</v>
      </c>
    </row>
    <row r="156" spans="1:7" ht="15" customHeight="1">
      <c r="A156" s="37" t="s">
        <v>1095</v>
      </c>
      <c r="B156" s="37" t="s">
        <v>1094</v>
      </c>
      <c r="C156" s="6">
        <v>3</v>
      </c>
      <c r="D156" s="6">
        <v>2015</v>
      </c>
      <c r="E156" s="37" t="s">
        <v>1320</v>
      </c>
      <c r="F156" s="37" t="s">
        <v>1475</v>
      </c>
      <c r="G156" s="6">
        <v>4.2</v>
      </c>
    </row>
    <row r="157" spans="1:7" ht="15" customHeight="1">
      <c r="A157" s="37" t="s">
        <v>1095</v>
      </c>
      <c r="B157" s="37" t="s">
        <v>1094</v>
      </c>
      <c r="C157" s="6">
        <v>3</v>
      </c>
      <c r="D157" s="6">
        <v>2016</v>
      </c>
      <c r="E157" s="37" t="s">
        <v>1320</v>
      </c>
      <c r="F157" s="37" t="s">
        <v>1476</v>
      </c>
      <c r="G157" s="6">
        <v>4</v>
      </c>
    </row>
    <row r="158" spans="1:7" ht="15" customHeight="1">
      <c r="A158" s="37" t="s">
        <v>1099</v>
      </c>
      <c r="B158" s="37" t="s">
        <v>1098</v>
      </c>
      <c r="C158" s="6">
        <v>3</v>
      </c>
      <c r="D158" s="6">
        <v>2015</v>
      </c>
      <c r="E158" s="37" t="s">
        <v>1320</v>
      </c>
      <c r="F158" s="37" t="s">
        <v>1477</v>
      </c>
      <c r="G158" s="6">
        <v>4.0999999999999996</v>
      </c>
    </row>
    <row r="159" spans="1:7" ht="15" customHeight="1">
      <c r="A159" s="37" t="s">
        <v>1099</v>
      </c>
      <c r="B159" s="37" t="s">
        <v>1098</v>
      </c>
      <c r="C159" s="6">
        <v>3</v>
      </c>
      <c r="D159" s="6">
        <v>2016</v>
      </c>
      <c r="E159" s="37" t="s">
        <v>1320</v>
      </c>
      <c r="F159" s="37" t="s">
        <v>1478</v>
      </c>
      <c r="G159" s="6">
        <v>3.4</v>
      </c>
    </row>
    <row r="160" spans="1:7" ht="15" customHeight="1">
      <c r="A160" s="37" t="s">
        <v>1101</v>
      </c>
      <c r="B160" s="37" t="s">
        <v>1100</v>
      </c>
      <c r="C160" s="6">
        <v>3</v>
      </c>
      <c r="D160" s="6">
        <v>2015</v>
      </c>
      <c r="E160" s="37" t="s">
        <v>1320</v>
      </c>
      <c r="F160" s="37" t="s">
        <v>1479</v>
      </c>
      <c r="G160" s="6">
        <v>4.0999999999999996</v>
      </c>
    </row>
    <row r="161" spans="1:7" ht="15" customHeight="1">
      <c r="A161" s="37" t="s">
        <v>1101</v>
      </c>
      <c r="B161" s="37" t="s">
        <v>1100</v>
      </c>
      <c r="C161" s="6">
        <v>3</v>
      </c>
      <c r="D161" s="6">
        <v>2016</v>
      </c>
      <c r="E161" s="37" t="s">
        <v>1320</v>
      </c>
      <c r="F161" s="37" t="s">
        <v>1480</v>
      </c>
      <c r="G161" s="6">
        <v>3.7</v>
      </c>
    </row>
    <row r="162" spans="1:7" ht="15" customHeight="1">
      <c r="A162" s="37" t="s">
        <v>1103</v>
      </c>
      <c r="B162" s="37" t="s">
        <v>1102</v>
      </c>
      <c r="C162" s="6">
        <v>3</v>
      </c>
      <c r="D162" s="6">
        <v>2015</v>
      </c>
      <c r="E162" s="37" t="s">
        <v>1320</v>
      </c>
      <c r="F162" s="37" t="s">
        <v>1481</v>
      </c>
      <c r="G162" s="6">
        <v>5.6</v>
      </c>
    </row>
    <row r="163" spans="1:7" ht="15" customHeight="1">
      <c r="A163" s="37" t="s">
        <v>1103</v>
      </c>
      <c r="B163" s="37" t="s">
        <v>1102</v>
      </c>
      <c r="C163" s="6">
        <v>3</v>
      </c>
      <c r="D163" s="6">
        <v>2016</v>
      </c>
      <c r="E163" s="37" t="s">
        <v>1320</v>
      </c>
      <c r="F163" s="37" t="s">
        <v>1482</v>
      </c>
      <c r="G163" s="6">
        <v>5</v>
      </c>
    </row>
    <row r="164" spans="1:7" ht="15" customHeight="1">
      <c r="A164" s="37" t="s">
        <v>1105</v>
      </c>
      <c r="B164" s="37" t="s">
        <v>1104</v>
      </c>
      <c r="C164" s="6">
        <v>3</v>
      </c>
      <c r="D164" s="6">
        <v>2015</v>
      </c>
      <c r="E164" s="37" t="s">
        <v>1320</v>
      </c>
      <c r="F164" s="37" t="s">
        <v>1483</v>
      </c>
      <c r="G164" s="6">
        <v>5.2</v>
      </c>
    </row>
    <row r="165" spans="1:7" ht="15" customHeight="1">
      <c r="A165" s="37" t="s">
        <v>1105</v>
      </c>
      <c r="B165" s="37" t="s">
        <v>1104</v>
      </c>
      <c r="C165" s="6">
        <v>3</v>
      </c>
      <c r="D165" s="6">
        <v>2016</v>
      </c>
      <c r="E165" s="37" t="s">
        <v>1320</v>
      </c>
      <c r="F165" s="37" t="s">
        <v>1484</v>
      </c>
      <c r="G165" s="6">
        <v>4.8</v>
      </c>
    </row>
    <row r="166" spans="1:7" ht="15" customHeight="1">
      <c r="A166" s="37" t="s">
        <v>1107</v>
      </c>
      <c r="B166" s="37" t="s">
        <v>1106</v>
      </c>
      <c r="C166" s="6">
        <v>3</v>
      </c>
      <c r="D166" s="6">
        <v>2015</v>
      </c>
      <c r="E166" s="37" t="s">
        <v>1320</v>
      </c>
      <c r="F166" s="37" t="s">
        <v>1485</v>
      </c>
      <c r="G166" s="6">
        <v>4.5</v>
      </c>
    </row>
    <row r="167" spans="1:7" ht="15" customHeight="1">
      <c r="A167" s="37" t="s">
        <v>1107</v>
      </c>
      <c r="B167" s="37" t="s">
        <v>1106</v>
      </c>
      <c r="C167" s="6">
        <v>3</v>
      </c>
      <c r="D167" s="6">
        <v>2016</v>
      </c>
      <c r="E167" s="37" t="s">
        <v>1320</v>
      </c>
      <c r="F167" s="37" t="s">
        <v>1486</v>
      </c>
      <c r="G167" s="6">
        <v>3.8</v>
      </c>
    </row>
    <row r="168" spans="1:7" ht="15" customHeight="1">
      <c r="A168" s="37" t="s">
        <v>1111</v>
      </c>
      <c r="B168" s="37" t="s">
        <v>1110</v>
      </c>
      <c r="C168" s="6">
        <v>3</v>
      </c>
      <c r="D168" s="6">
        <v>2015</v>
      </c>
      <c r="E168" s="37" t="s">
        <v>1320</v>
      </c>
      <c r="F168" s="37" t="s">
        <v>1487</v>
      </c>
      <c r="G168" s="6">
        <v>4.4000000000000004</v>
      </c>
    </row>
    <row r="169" spans="1:7" ht="15" customHeight="1">
      <c r="A169" s="37" t="s">
        <v>1111</v>
      </c>
      <c r="B169" s="37" t="s">
        <v>1110</v>
      </c>
      <c r="C169" s="6">
        <v>3</v>
      </c>
      <c r="D169" s="6">
        <v>2016</v>
      </c>
      <c r="E169" s="37" t="s">
        <v>1320</v>
      </c>
      <c r="F169" s="37" t="s">
        <v>1488</v>
      </c>
      <c r="G169" s="6">
        <v>3.9</v>
      </c>
    </row>
    <row r="170" spans="1:7" ht="15" customHeight="1">
      <c r="A170" s="37" t="s">
        <v>1113</v>
      </c>
      <c r="B170" s="37" t="s">
        <v>1112</v>
      </c>
      <c r="C170" s="6">
        <v>3</v>
      </c>
      <c r="D170" s="6">
        <v>2015</v>
      </c>
      <c r="E170" s="37" t="s">
        <v>1320</v>
      </c>
      <c r="F170" s="37" t="s">
        <v>1489</v>
      </c>
      <c r="G170" s="6">
        <v>4.5</v>
      </c>
    </row>
    <row r="171" spans="1:7" ht="15" customHeight="1">
      <c r="A171" s="37" t="s">
        <v>1113</v>
      </c>
      <c r="B171" s="37" t="s">
        <v>1112</v>
      </c>
      <c r="C171" s="6">
        <v>3</v>
      </c>
      <c r="D171" s="6">
        <v>2016</v>
      </c>
      <c r="E171" s="37" t="s">
        <v>1320</v>
      </c>
      <c r="F171" s="37" t="s">
        <v>1490</v>
      </c>
      <c r="G171" s="6">
        <v>4.4000000000000004</v>
      </c>
    </row>
    <row r="172" spans="1:7" ht="15" customHeight="1">
      <c r="A172" s="37" t="s">
        <v>1121</v>
      </c>
      <c r="B172" s="37" t="s">
        <v>1120</v>
      </c>
      <c r="C172" s="6">
        <v>3</v>
      </c>
      <c r="D172" s="6">
        <v>2015</v>
      </c>
      <c r="E172" s="37" t="s">
        <v>1320</v>
      </c>
      <c r="F172" s="37" t="s">
        <v>1491</v>
      </c>
      <c r="G172" s="6">
        <v>5.0999999999999996</v>
      </c>
    </row>
    <row r="173" spans="1:7" ht="15" customHeight="1">
      <c r="A173" s="37" t="s">
        <v>1121</v>
      </c>
      <c r="B173" s="37" t="s">
        <v>1120</v>
      </c>
      <c r="C173" s="6">
        <v>3</v>
      </c>
      <c r="D173" s="6">
        <v>2016</v>
      </c>
      <c r="E173" s="37" t="s">
        <v>1320</v>
      </c>
      <c r="F173" s="37" t="s">
        <v>1492</v>
      </c>
      <c r="G173" s="6">
        <v>4.5</v>
      </c>
    </row>
    <row r="174" spans="1:7" ht="15" customHeight="1">
      <c r="A174" s="37" t="s">
        <v>1123</v>
      </c>
      <c r="B174" s="37" t="s">
        <v>1122</v>
      </c>
      <c r="C174" s="6">
        <v>3</v>
      </c>
      <c r="D174" s="6">
        <v>2015</v>
      </c>
      <c r="E174" s="37" t="s">
        <v>1320</v>
      </c>
      <c r="F174" s="37" t="s">
        <v>1493</v>
      </c>
      <c r="G174" s="6">
        <v>6.3</v>
      </c>
    </row>
    <row r="175" spans="1:7" ht="15" customHeight="1">
      <c r="A175" s="37" t="s">
        <v>1123</v>
      </c>
      <c r="B175" s="37" t="s">
        <v>1122</v>
      </c>
      <c r="C175" s="6">
        <v>3</v>
      </c>
      <c r="D175" s="6">
        <v>2016</v>
      </c>
      <c r="E175" s="37" t="s">
        <v>1320</v>
      </c>
      <c r="F175" s="37" t="s">
        <v>1494</v>
      </c>
      <c r="G175" s="6">
        <v>5.0999999999999996</v>
      </c>
    </row>
    <row r="176" spans="1:7" ht="15" customHeight="1">
      <c r="A176" s="37" t="s">
        <v>1125</v>
      </c>
      <c r="B176" s="37" t="s">
        <v>1124</v>
      </c>
      <c r="C176" s="6">
        <v>3</v>
      </c>
      <c r="D176" s="6">
        <v>2015</v>
      </c>
      <c r="E176" s="37" t="s">
        <v>1320</v>
      </c>
      <c r="F176" s="37" t="s">
        <v>1495</v>
      </c>
      <c r="G176" s="6">
        <v>4.5</v>
      </c>
    </row>
    <row r="177" spans="1:7" ht="15" customHeight="1">
      <c r="A177" s="37" t="s">
        <v>1125</v>
      </c>
      <c r="B177" s="37" t="s">
        <v>1124</v>
      </c>
      <c r="C177" s="6">
        <v>3</v>
      </c>
      <c r="D177" s="6">
        <v>2016</v>
      </c>
      <c r="E177" s="37" t="s">
        <v>1320</v>
      </c>
      <c r="F177" s="37" t="s">
        <v>1496</v>
      </c>
      <c r="G177" s="6">
        <v>3.9</v>
      </c>
    </row>
    <row r="178" spans="1:7" ht="15" customHeight="1">
      <c r="A178" s="37" t="s">
        <v>1131</v>
      </c>
      <c r="B178" s="37" t="s">
        <v>1130</v>
      </c>
      <c r="C178" s="6">
        <v>3</v>
      </c>
      <c r="D178" s="6">
        <v>2015</v>
      </c>
      <c r="E178" s="37" t="s">
        <v>1320</v>
      </c>
      <c r="F178" s="37" t="s">
        <v>1497</v>
      </c>
      <c r="G178" s="6">
        <v>4.3</v>
      </c>
    </row>
    <row r="179" spans="1:7" ht="15" customHeight="1">
      <c r="A179" s="37" t="s">
        <v>1131</v>
      </c>
      <c r="B179" s="37" t="s">
        <v>1130</v>
      </c>
      <c r="C179" s="6">
        <v>3</v>
      </c>
      <c r="D179" s="6">
        <v>2016</v>
      </c>
      <c r="E179" s="37" t="s">
        <v>1320</v>
      </c>
      <c r="F179" s="37" t="s">
        <v>1498</v>
      </c>
      <c r="G179" s="6">
        <v>3.8</v>
      </c>
    </row>
    <row r="180" spans="1:7" ht="15" customHeight="1">
      <c r="A180" s="37" t="s">
        <v>1133</v>
      </c>
      <c r="B180" s="37" t="s">
        <v>1132</v>
      </c>
      <c r="C180" s="6">
        <v>3</v>
      </c>
      <c r="D180" s="6">
        <v>2015</v>
      </c>
      <c r="E180" s="37" t="s">
        <v>1320</v>
      </c>
      <c r="F180" s="37" t="s">
        <v>1499</v>
      </c>
      <c r="G180" s="6">
        <v>4.7</v>
      </c>
    </row>
    <row r="181" spans="1:7" ht="15" customHeight="1">
      <c r="A181" s="37" t="s">
        <v>1133</v>
      </c>
      <c r="B181" s="37" t="s">
        <v>1132</v>
      </c>
      <c r="C181" s="6">
        <v>3</v>
      </c>
      <c r="D181" s="6">
        <v>2016</v>
      </c>
      <c r="E181" s="37" t="s">
        <v>1320</v>
      </c>
      <c r="F181" s="37" t="s">
        <v>1500</v>
      </c>
      <c r="G181" s="6">
        <v>4.3</v>
      </c>
    </row>
    <row r="182" spans="1:7" ht="15" customHeight="1">
      <c r="A182" s="37" t="s">
        <v>1135</v>
      </c>
      <c r="B182" s="37" t="s">
        <v>1134</v>
      </c>
      <c r="C182" s="6">
        <v>3</v>
      </c>
      <c r="D182" s="6">
        <v>2015</v>
      </c>
      <c r="E182" s="37" t="s">
        <v>1320</v>
      </c>
      <c r="F182" s="37" t="s">
        <v>1501</v>
      </c>
      <c r="G182" s="6">
        <v>4.7</v>
      </c>
    </row>
    <row r="183" spans="1:7" ht="15" customHeight="1">
      <c r="A183" s="37" t="s">
        <v>1135</v>
      </c>
      <c r="B183" s="37" t="s">
        <v>1134</v>
      </c>
      <c r="C183" s="6">
        <v>3</v>
      </c>
      <c r="D183" s="6">
        <v>2016</v>
      </c>
      <c r="E183" s="37" t="s">
        <v>1320</v>
      </c>
      <c r="F183" s="37" t="s">
        <v>1502</v>
      </c>
      <c r="G183" s="6">
        <v>4.3</v>
      </c>
    </row>
    <row r="184" spans="1:7" ht="15" customHeight="1">
      <c r="A184" s="37" t="s">
        <v>1149</v>
      </c>
      <c r="B184" s="37" t="s">
        <v>1148</v>
      </c>
      <c r="C184" s="6">
        <v>3</v>
      </c>
      <c r="D184" s="6">
        <v>2015</v>
      </c>
      <c r="E184" s="37" t="s">
        <v>1320</v>
      </c>
      <c r="F184" s="37" t="s">
        <v>1503</v>
      </c>
      <c r="G184" s="6">
        <v>4.8</v>
      </c>
    </row>
    <row r="185" spans="1:7" ht="15" customHeight="1">
      <c r="A185" s="37" t="s">
        <v>1149</v>
      </c>
      <c r="B185" s="37" t="s">
        <v>1148</v>
      </c>
      <c r="C185" s="6">
        <v>3</v>
      </c>
      <c r="D185" s="6">
        <v>2016</v>
      </c>
      <c r="E185" s="37" t="s">
        <v>1320</v>
      </c>
      <c r="F185" s="37" t="s">
        <v>1504</v>
      </c>
      <c r="G185" s="6">
        <v>4.4000000000000004</v>
      </c>
    </row>
    <row r="186" spans="1:7" ht="15" customHeight="1">
      <c r="A186" s="37" t="s">
        <v>1147</v>
      </c>
      <c r="B186" s="37" t="s">
        <v>1146</v>
      </c>
      <c r="C186" s="6">
        <v>3</v>
      </c>
      <c r="D186" s="6">
        <v>2015</v>
      </c>
      <c r="E186" s="37" t="s">
        <v>1320</v>
      </c>
      <c r="F186" s="37" t="s">
        <v>1505</v>
      </c>
      <c r="G186" s="6">
        <v>4.8</v>
      </c>
    </row>
    <row r="187" spans="1:7" ht="15" customHeight="1">
      <c r="A187" s="37" t="s">
        <v>1147</v>
      </c>
      <c r="B187" s="37" t="s">
        <v>1146</v>
      </c>
      <c r="C187" s="6">
        <v>3</v>
      </c>
      <c r="D187" s="6">
        <v>2016</v>
      </c>
      <c r="E187" s="37" t="s">
        <v>1320</v>
      </c>
      <c r="F187" s="37" t="s">
        <v>1506</v>
      </c>
      <c r="G187" s="6">
        <v>4.3</v>
      </c>
    </row>
    <row r="188" spans="1:7" ht="15" customHeight="1">
      <c r="A188" s="37" t="s">
        <v>1151</v>
      </c>
      <c r="B188" s="37" t="s">
        <v>1150</v>
      </c>
      <c r="C188" s="6">
        <v>3</v>
      </c>
      <c r="D188" s="6">
        <v>2015</v>
      </c>
      <c r="E188" s="37" t="s">
        <v>1320</v>
      </c>
      <c r="F188" s="37" t="s">
        <v>1507</v>
      </c>
      <c r="G188" s="6">
        <v>4.4000000000000004</v>
      </c>
    </row>
    <row r="189" spans="1:7" ht="15" customHeight="1">
      <c r="A189" s="37" t="s">
        <v>1151</v>
      </c>
      <c r="B189" s="37" t="s">
        <v>1150</v>
      </c>
      <c r="C189" s="6">
        <v>3</v>
      </c>
      <c r="D189" s="6">
        <v>2016</v>
      </c>
      <c r="E189" s="37" t="s">
        <v>1320</v>
      </c>
      <c r="F189" s="37" t="s">
        <v>1508</v>
      </c>
      <c r="G189" s="6">
        <v>4.3</v>
      </c>
    </row>
    <row r="190" spans="1:7" ht="15" customHeight="1">
      <c r="A190" s="37" t="s">
        <v>1153</v>
      </c>
      <c r="B190" s="37" t="s">
        <v>1152</v>
      </c>
      <c r="C190" s="6">
        <v>3</v>
      </c>
      <c r="D190" s="6">
        <v>2015</v>
      </c>
      <c r="E190" s="37" t="s">
        <v>1320</v>
      </c>
      <c r="F190" s="37" t="s">
        <v>1509</v>
      </c>
      <c r="G190" s="6">
        <v>4.9000000000000004</v>
      </c>
    </row>
    <row r="191" spans="1:7" ht="15" customHeight="1">
      <c r="A191" s="37" t="s">
        <v>1153</v>
      </c>
      <c r="B191" s="37" t="s">
        <v>1152</v>
      </c>
      <c r="C191" s="6">
        <v>3</v>
      </c>
      <c r="D191" s="6">
        <v>2016</v>
      </c>
      <c r="E191" s="37" t="s">
        <v>1320</v>
      </c>
      <c r="F191" s="37" t="s">
        <v>1510</v>
      </c>
      <c r="G191" s="6">
        <v>4.4000000000000004</v>
      </c>
    </row>
    <row r="192" spans="1:7" ht="15" customHeight="1">
      <c r="A192" s="37" t="s">
        <v>1155</v>
      </c>
      <c r="B192" s="37" t="s">
        <v>1154</v>
      </c>
      <c r="C192" s="6">
        <v>3</v>
      </c>
      <c r="D192" s="6">
        <v>2015</v>
      </c>
      <c r="E192" s="37" t="s">
        <v>1320</v>
      </c>
      <c r="F192" s="37" t="s">
        <v>1511</v>
      </c>
      <c r="G192" s="6">
        <v>4.7</v>
      </c>
    </row>
    <row r="193" spans="1:7" ht="15" customHeight="1">
      <c r="A193" s="37" t="s">
        <v>1155</v>
      </c>
      <c r="B193" s="37" t="s">
        <v>1154</v>
      </c>
      <c r="C193" s="6">
        <v>3</v>
      </c>
      <c r="D193" s="6">
        <v>2016</v>
      </c>
      <c r="E193" s="37" t="s">
        <v>1320</v>
      </c>
      <c r="F193" s="37" t="s">
        <v>1512</v>
      </c>
      <c r="G193" s="6">
        <v>4.2</v>
      </c>
    </row>
    <row r="194" spans="1:7" ht="15" customHeight="1">
      <c r="A194" s="37" t="s">
        <v>1157</v>
      </c>
      <c r="B194" s="37" t="s">
        <v>1156</v>
      </c>
      <c r="C194" s="6">
        <v>3</v>
      </c>
      <c r="D194" s="6">
        <v>2015</v>
      </c>
      <c r="E194" s="37" t="s">
        <v>1320</v>
      </c>
      <c r="F194" s="37" t="s">
        <v>1513</v>
      </c>
      <c r="G194" s="6">
        <v>4.5999999999999996</v>
      </c>
    </row>
    <row r="195" spans="1:7" ht="15" customHeight="1">
      <c r="A195" s="37" t="s">
        <v>1157</v>
      </c>
      <c r="B195" s="37" t="s">
        <v>1156</v>
      </c>
      <c r="C195" s="6">
        <v>3</v>
      </c>
      <c r="D195" s="6">
        <v>2016</v>
      </c>
      <c r="E195" s="37" t="s">
        <v>1320</v>
      </c>
      <c r="F195" s="37" t="s">
        <v>1514</v>
      </c>
      <c r="G195" s="6">
        <v>4.7</v>
      </c>
    </row>
    <row r="196" spans="1:7" ht="15" customHeight="1">
      <c r="A196" s="37" t="s">
        <v>1159</v>
      </c>
      <c r="B196" s="37" t="s">
        <v>1158</v>
      </c>
      <c r="C196" s="6">
        <v>3</v>
      </c>
      <c r="D196" s="6">
        <v>2015</v>
      </c>
      <c r="E196" s="37" t="s">
        <v>1320</v>
      </c>
      <c r="F196" s="37" t="s">
        <v>1515</v>
      </c>
      <c r="G196" s="6">
        <v>4.8</v>
      </c>
    </row>
    <row r="197" spans="1:7" ht="15" customHeight="1">
      <c r="A197" s="37" t="s">
        <v>1159</v>
      </c>
      <c r="B197" s="37" t="s">
        <v>1158</v>
      </c>
      <c r="C197" s="6">
        <v>3</v>
      </c>
      <c r="D197" s="6">
        <v>2016</v>
      </c>
      <c r="E197" s="37" t="s">
        <v>1320</v>
      </c>
      <c r="F197" s="37" t="s">
        <v>1516</v>
      </c>
      <c r="G197" s="6">
        <v>4.3</v>
      </c>
    </row>
    <row r="198" spans="1:7" ht="15" customHeight="1">
      <c r="A198" s="37" t="s">
        <v>1161</v>
      </c>
      <c r="B198" s="37" t="s">
        <v>1160</v>
      </c>
      <c r="C198" s="6">
        <v>3</v>
      </c>
      <c r="D198" s="6">
        <v>2015</v>
      </c>
      <c r="E198" s="37" t="s">
        <v>1320</v>
      </c>
      <c r="F198" s="37" t="s">
        <v>1517</v>
      </c>
      <c r="G198" s="6">
        <v>4.8</v>
      </c>
    </row>
    <row r="199" spans="1:7" ht="15" customHeight="1">
      <c r="A199" s="37" t="s">
        <v>1161</v>
      </c>
      <c r="B199" s="37" t="s">
        <v>1160</v>
      </c>
      <c r="C199" s="6">
        <v>3</v>
      </c>
      <c r="D199" s="6">
        <v>2016</v>
      </c>
      <c r="E199" s="37" t="s">
        <v>1320</v>
      </c>
      <c r="F199" s="37" t="s">
        <v>1518</v>
      </c>
      <c r="G199" s="6">
        <v>4</v>
      </c>
    </row>
    <row r="200" spans="1:7" ht="15" customHeight="1">
      <c r="A200" s="37" t="s">
        <v>1171</v>
      </c>
      <c r="B200" s="37" t="s">
        <v>1170</v>
      </c>
      <c r="C200" s="6">
        <v>3</v>
      </c>
      <c r="D200" s="6">
        <v>2015</v>
      </c>
      <c r="E200" s="37" t="s">
        <v>1320</v>
      </c>
      <c r="F200" s="37" t="s">
        <v>1519</v>
      </c>
      <c r="G200" s="6">
        <v>4.5</v>
      </c>
    </row>
    <row r="201" spans="1:7" ht="15" customHeight="1">
      <c r="A201" s="37" t="s">
        <v>1171</v>
      </c>
      <c r="B201" s="37" t="s">
        <v>1170</v>
      </c>
      <c r="C201" s="6">
        <v>3</v>
      </c>
      <c r="D201" s="6">
        <v>2016</v>
      </c>
      <c r="E201" s="37" t="s">
        <v>1320</v>
      </c>
      <c r="F201" s="37" t="s">
        <v>1520</v>
      </c>
      <c r="G201" s="6">
        <v>3.7</v>
      </c>
    </row>
    <row r="202" spans="1:7" ht="15" customHeight="1">
      <c r="A202" s="37" t="s">
        <v>1173</v>
      </c>
      <c r="B202" s="37" t="s">
        <v>1172</v>
      </c>
      <c r="C202" s="6">
        <v>3</v>
      </c>
      <c r="D202" s="6">
        <v>2015</v>
      </c>
      <c r="E202" s="37" t="s">
        <v>1320</v>
      </c>
      <c r="F202" s="37" t="s">
        <v>1521</v>
      </c>
      <c r="G202" s="6">
        <v>4.7</v>
      </c>
    </row>
    <row r="203" spans="1:7" ht="15" customHeight="1">
      <c r="A203" s="37" t="s">
        <v>1173</v>
      </c>
      <c r="B203" s="37" t="s">
        <v>1172</v>
      </c>
      <c r="C203" s="6">
        <v>3</v>
      </c>
      <c r="D203" s="6">
        <v>2016</v>
      </c>
      <c r="E203" s="37" t="s">
        <v>1320</v>
      </c>
      <c r="F203" s="37" t="s">
        <v>1522</v>
      </c>
      <c r="G203" s="6">
        <v>4.3</v>
      </c>
    </row>
    <row r="204" spans="1:7" ht="15" customHeight="1">
      <c r="A204" s="37" t="s">
        <v>1175</v>
      </c>
      <c r="B204" s="37" t="s">
        <v>1174</v>
      </c>
      <c r="C204" s="6">
        <v>3</v>
      </c>
      <c r="D204" s="6">
        <v>2015</v>
      </c>
      <c r="E204" s="37" t="s">
        <v>1320</v>
      </c>
      <c r="F204" s="37" t="s">
        <v>1523</v>
      </c>
      <c r="G204" s="6">
        <v>4.2</v>
      </c>
    </row>
    <row r="205" spans="1:7" ht="15" customHeight="1">
      <c r="A205" s="37" t="s">
        <v>1175</v>
      </c>
      <c r="B205" s="37" t="s">
        <v>1174</v>
      </c>
      <c r="C205" s="6">
        <v>3</v>
      </c>
      <c r="D205" s="6">
        <v>2016</v>
      </c>
      <c r="E205" s="37" t="s">
        <v>1320</v>
      </c>
      <c r="F205" s="37" t="s">
        <v>1524</v>
      </c>
      <c r="G205" s="6">
        <v>3.9</v>
      </c>
    </row>
    <row r="206" spans="1:7" ht="15" customHeight="1">
      <c r="A206" s="37" t="s">
        <v>1177</v>
      </c>
      <c r="B206" s="37" t="s">
        <v>1176</v>
      </c>
      <c r="C206" s="6">
        <v>3</v>
      </c>
      <c r="D206" s="6">
        <v>2015</v>
      </c>
      <c r="E206" s="37" t="s">
        <v>1320</v>
      </c>
      <c r="F206" s="37" t="s">
        <v>1525</v>
      </c>
      <c r="G206" s="6">
        <v>4.8</v>
      </c>
    </row>
    <row r="207" spans="1:7" ht="15" customHeight="1">
      <c r="A207" s="37" t="s">
        <v>1177</v>
      </c>
      <c r="B207" s="37" t="s">
        <v>1176</v>
      </c>
      <c r="C207" s="6">
        <v>3</v>
      </c>
      <c r="D207" s="6">
        <v>2016</v>
      </c>
      <c r="E207" s="37" t="s">
        <v>1320</v>
      </c>
      <c r="F207" s="37" t="s">
        <v>1526</v>
      </c>
      <c r="G207" s="6">
        <v>4.2</v>
      </c>
    </row>
    <row r="208" spans="1:7" ht="15" customHeight="1">
      <c r="A208" s="37" t="s">
        <v>1179</v>
      </c>
      <c r="B208" s="37" t="s">
        <v>1178</v>
      </c>
      <c r="C208" s="6">
        <v>3</v>
      </c>
      <c r="D208" s="6">
        <v>2015</v>
      </c>
      <c r="E208" s="37" t="s">
        <v>1320</v>
      </c>
      <c r="F208" s="37" t="s">
        <v>1527</v>
      </c>
      <c r="G208" s="6">
        <v>7.2</v>
      </c>
    </row>
    <row r="209" spans="1:7" ht="15" customHeight="1">
      <c r="A209" s="37" t="s">
        <v>1179</v>
      </c>
      <c r="B209" s="37" t="s">
        <v>1178</v>
      </c>
      <c r="C209" s="6">
        <v>3</v>
      </c>
      <c r="D209" s="6">
        <v>2016</v>
      </c>
      <c r="E209" s="37" t="s">
        <v>1320</v>
      </c>
      <c r="F209" s="37" t="s">
        <v>1528</v>
      </c>
      <c r="G209" s="6">
        <v>6</v>
      </c>
    </row>
    <row r="210" spans="1:7" ht="15" customHeight="1">
      <c r="A210" s="37" t="s">
        <v>1181</v>
      </c>
      <c r="B210" s="37" t="s">
        <v>1180</v>
      </c>
      <c r="C210" s="6">
        <v>3</v>
      </c>
      <c r="D210" s="6">
        <v>2015</v>
      </c>
      <c r="E210" s="37" t="s">
        <v>1320</v>
      </c>
      <c r="F210" s="37" t="s">
        <v>1529</v>
      </c>
      <c r="G210" s="6">
        <v>5.3</v>
      </c>
    </row>
    <row r="211" spans="1:7" ht="15" customHeight="1">
      <c r="A211" s="37" t="s">
        <v>1181</v>
      </c>
      <c r="B211" s="37" t="s">
        <v>1180</v>
      </c>
      <c r="C211" s="6">
        <v>3</v>
      </c>
      <c r="D211" s="6">
        <v>2016</v>
      </c>
      <c r="E211" s="37" t="s">
        <v>1320</v>
      </c>
      <c r="F211" s="37" t="s">
        <v>1530</v>
      </c>
      <c r="G211" s="6">
        <v>4.8</v>
      </c>
    </row>
    <row r="212" spans="1:7" ht="15" customHeight="1">
      <c r="A212" s="37" t="s">
        <v>1183</v>
      </c>
      <c r="B212" s="37" t="s">
        <v>1182</v>
      </c>
      <c r="C212" s="6">
        <v>3</v>
      </c>
      <c r="D212" s="6">
        <v>2015</v>
      </c>
      <c r="E212" s="37" t="s">
        <v>1320</v>
      </c>
      <c r="F212" s="37" t="s">
        <v>1531</v>
      </c>
      <c r="G212" s="6">
        <v>6.9</v>
      </c>
    </row>
    <row r="213" spans="1:7" ht="15" customHeight="1">
      <c r="A213" s="37" t="s">
        <v>1183</v>
      </c>
      <c r="B213" s="37" t="s">
        <v>1182</v>
      </c>
      <c r="C213" s="6">
        <v>3</v>
      </c>
      <c r="D213" s="6">
        <v>2016</v>
      </c>
      <c r="E213" s="37" t="s">
        <v>1320</v>
      </c>
      <c r="F213" s="37" t="s">
        <v>1532</v>
      </c>
      <c r="G213" s="6">
        <v>6</v>
      </c>
    </row>
    <row r="214" spans="1:7" ht="15" customHeight="1">
      <c r="A214" s="37" t="s">
        <v>1185</v>
      </c>
      <c r="B214" s="37" t="s">
        <v>1184</v>
      </c>
      <c r="C214" s="6">
        <v>3</v>
      </c>
      <c r="D214" s="6">
        <v>2015</v>
      </c>
      <c r="E214" s="37" t="s">
        <v>1320</v>
      </c>
      <c r="F214" s="37" t="s">
        <v>1533</v>
      </c>
      <c r="G214" s="6">
        <v>4.2</v>
      </c>
    </row>
    <row r="215" spans="1:7" ht="15" customHeight="1">
      <c r="A215" s="37" t="s">
        <v>1185</v>
      </c>
      <c r="B215" s="37" t="s">
        <v>1184</v>
      </c>
      <c r="C215" s="6">
        <v>3</v>
      </c>
      <c r="D215" s="6">
        <v>2016</v>
      </c>
      <c r="E215" s="37" t="s">
        <v>1320</v>
      </c>
      <c r="F215" s="37" t="s">
        <v>1534</v>
      </c>
      <c r="G215" s="6">
        <v>3.4</v>
      </c>
    </row>
    <row r="216" spans="1:7" ht="15" customHeight="1">
      <c r="A216" s="37" t="s">
        <v>1187</v>
      </c>
      <c r="B216" s="37" t="s">
        <v>1186</v>
      </c>
      <c r="C216" s="6">
        <v>3</v>
      </c>
      <c r="D216" s="6">
        <v>2015</v>
      </c>
      <c r="E216" s="37" t="s">
        <v>1320</v>
      </c>
      <c r="F216" s="37" t="s">
        <v>1535</v>
      </c>
      <c r="G216" s="6">
        <v>4.8</v>
      </c>
    </row>
    <row r="217" spans="1:7" ht="15" customHeight="1">
      <c r="A217" s="37" t="s">
        <v>1187</v>
      </c>
      <c r="B217" s="37" t="s">
        <v>1186</v>
      </c>
      <c r="C217" s="6">
        <v>3</v>
      </c>
      <c r="D217" s="6">
        <v>2016</v>
      </c>
      <c r="E217" s="37" t="s">
        <v>1320</v>
      </c>
      <c r="F217" s="37" t="s">
        <v>1536</v>
      </c>
      <c r="G217" s="6">
        <v>4.5999999999999996</v>
      </c>
    </row>
    <row r="218" spans="1:7" ht="15" customHeight="1">
      <c r="A218" s="37" t="s">
        <v>1189</v>
      </c>
      <c r="B218" s="37" t="s">
        <v>1188</v>
      </c>
      <c r="C218" s="6">
        <v>3</v>
      </c>
      <c r="D218" s="6">
        <v>2015</v>
      </c>
      <c r="E218" s="37" t="s">
        <v>1320</v>
      </c>
      <c r="F218" s="37" t="s">
        <v>1537</v>
      </c>
      <c r="G218" s="6">
        <v>5.6</v>
      </c>
    </row>
    <row r="219" spans="1:7" ht="15" customHeight="1">
      <c r="A219" s="37" t="s">
        <v>1189</v>
      </c>
      <c r="B219" s="37" t="s">
        <v>1188</v>
      </c>
      <c r="C219" s="6">
        <v>3</v>
      </c>
      <c r="D219" s="6">
        <v>2016</v>
      </c>
      <c r="E219" s="37" t="s">
        <v>1320</v>
      </c>
      <c r="F219" s="37" t="s">
        <v>1538</v>
      </c>
      <c r="G219" s="6">
        <v>4.9000000000000004</v>
      </c>
    </row>
    <row r="220" spans="1:7" ht="15" customHeight="1">
      <c r="A220" s="37" t="s">
        <v>1191</v>
      </c>
      <c r="B220" s="37" t="s">
        <v>1190</v>
      </c>
      <c r="C220" s="6">
        <v>3</v>
      </c>
      <c r="D220" s="6">
        <v>2015</v>
      </c>
      <c r="E220" s="37" t="s">
        <v>1320</v>
      </c>
      <c r="F220" s="37" t="s">
        <v>1539</v>
      </c>
      <c r="G220" s="6">
        <v>4.8</v>
      </c>
    </row>
    <row r="221" spans="1:7" ht="15" customHeight="1">
      <c r="A221" s="37" t="s">
        <v>1191</v>
      </c>
      <c r="B221" s="37" t="s">
        <v>1190</v>
      </c>
      <c r="C221" s="6">
        <v>3</v>
      </c>
      <c r="D221" s="6">
        <v>2016</v>
      </c>
      <c r="E221" s="37" t="s">
        <v>1320</v>
      </c>
      <c r="F221" s="37" t="s">
        <v>1540</v>
      </c>
      <c r="G221" s="6">
        <v>4</v>
      </c>
    </row>
    <row r="222" spans="1:7" ht="15" customHeight="1">
      <c r="A222" s="37" t="s">
        <v>1193</v>
      </c>
      <c r="B222" s="37" t="s">
        <v>1192</v>
      </c>
      <c r="C222" s="6">
        <v>3</v>
      </c>
      <c r="D222" s="6">
        <v>2015</v>
      </c>
      <c r="E222" s="37" t="s">
        <v>1320</v>
      </c>
      <c r="F222" s="37" t="s">
        <v>1541</v>
      </c>
      <c r="G222" s="6">
        <v>6.9</v>
      </c>
    </row>
    <row r="223" spans="1:7" ht="15" customHeight="1">
      <c r="A223" s="37" t="s">
        <v>1193</v>
      </c>
      <c r="B223" s="37" t="s">
        <v>1192</v>
      </c>
      <c r="C223" s="6">
        <v>3</v>
      </c>
      <c r="D223" s="6">
        <v>2016</v>
      </c>
      <c r="E223" s="37" t="s">
        <v>1320</v>
      </c>
      <c r="F223" s="37" t="s">
        <v>1542</v>
      </c>
      <c r="G223" s="6">
        <v>5.8</v>
      </c>
    </row>
    <row r="224" spans="1:7" ht="15" customHeight="1">
      <c r="A224" s="37" t="s">
        <v>1195</v>
      </c>
      <c r="B224" s="37" t="s">
        <v>1194</v>
      </c>
      <c r="C224" s="6">
        <v>3</v>
      </c>
      <c r="D224" s="6">
        <v>2015</v>
      </c>
      <c r="E224" s="37" t="s">
        <v>1320</v>
      </c>
      <c r="F224" s="37" t="s">
        <v>1543</v>
      </c>
      <c r="G224" s="6">
        <v>4.3</v>
      </c>
    </row>
    <row r="225" spans="1:7" ht="15" customHeight="1">
      <c r="A225" s="37" t="s">
        <v>1195</v>
      </c>
      <c r="B225" s="37" t="s">
        <v>1194</v>
      </c>
      <c r="C225" s="6">
        <v>3</v>
      </c>
      <c r="D225" s="6">
        <v>2016</v>
      </c>
      <c r="E225" s="37" t="s">
        <v>1320</v>
      </c>
      <c r="F225" s="37" t="s">
        <v>1544</v>
      </c>
      <c r="G225" s="6">
        <v>4</v>
      </c>
    </row>
    <row r="226" spans="1:7" ht="15" customHeight="1">
      <c r="A226" s="37" t="s">
        <v>1197</v>
      </c>
      <c r="B226" s="37" t="s">
        <v>1196</v>
      </c>
      <c r="C226" s="6">
        <v>3</v>
      </c>
      <c r="D226" s="6">
        <v>2015</v>
      </c>
      <c r="E226" s="37" t="s">
        <v>1320</v>
      </c>
      <c r="F226" s="37" t="s">
        <v>1545</v>
      </c>
      <c r="G226" s="6">
        <v>3.9</v>
      </c>
    </row>
    <row r="227" spans="1:7" ht="15" customHeight="1">
      <c r="A227" s="37" t="s">
        <v>1197</v>
      </c>
      <c r="B227" s="37" t="s">
        <v>1196</v>
      </c>
      <c r="C227" s="6">
        <v>3</v>
      </c>
      <c r="D227" s="6">
        <v>2016</v>
      </c>
      <c r="E227" s="37" t="s">
        <v>1320</v>
      </c>
      <c r="F227" s="37" t="s">
        <v>1546</v>
      </c>
      <c r="G227" s="6">
        <v>3.6</v>
      </c>
    </row>
    <row r="228" spans="1:7" ht="15" customHeight="1">
      <c r="A228" s="37" t="s">
        <v>1199</v>
      </c>
      <c r="B228" s="37" t="s">
        <v>1198</v>
      </c>
      <c r="C228" s="6">
        <v>3</v>
      </c>
      <c r="D228" s="6">
        <v>2015</v>
      </c>
      <c r="E228" s="37" t="s">
        <v>1320</v>
      </c>
      <c r="F228" s="37" t="s">
        <v>1547</v>
      </c>
      <c r="G228" s="6">
        <v>4.2</v>
      </c>
    </row>
    <row r="229" spans="1:7" ht="15" customHeight="1">
      <c r="A229" s="37" t="s">
        <v>1199</v>
      </c>
      <c r="B229" s="37" t="s">
        <v>1198</v>
      </c>
      <c r="C229" s="6">
        <v>3</v>
      </c>
      <c r="D229" s="6">
        <v>2016</v>
      </c>
      <c r="E229" s="37" t="s">
        <v>1320</v>
      </c>
      <c r="F229" s="37" t="s">
        <v>1548</v>
      </c>
      <c r="G229" s="6">
        <v>3.9</v>
      </c>
    </row>
    <row r="230" spans="1:7" ht="15" customHeight="1">
      <c r="A230" s="37" t="s">
        <v>1201</v>
      </c>
      <c r="B230" s="37" t="s">
        <v>1200</v>
      </c>
      <c r="C230" s="6">
        <v>3</v>
      </c>
      <c r="D230" s="6">
        <v>2015</v>
      </c>
      <c r="E230" s="37" t="s">
        <v>1320</v>
      </c>
      <c r="F230" s="37" t="s">
        <v>1549</v>
      </c>
      <c r="G230" s="6">
        <v>3.3</v>
      </c>
    </row>
    <row r="231" spans="1:7" ht="15" customHeight="1">
      <c r="A231" s="37" t="s">
        <v>1201</v>
      </c>
      <c r="B231" s="37" t="s">
        <v>1200</v>
      </c>
      <c r="C231" s="6">
        <v>3</v>
      </c>
      <c r="D231" s="6">
        <v>2016</v>
      </c>
      <c r="E231" s="37" t="s">
        <v>1320</v>
      </c>
      <c r="F231" s="37" t="s">
        <v>1550</v>
      </c>
      <c r="G231" s="6">
        <v>3.2</v>
      </c>
    </row>
    <row r="232" spans="1:7" ht="15" customHeight="1">
      <c r="A232" s="37" t="s">
        <v>1203</v>
      </c>
      <c r="B232" s="37" t="s">
        <v>1202</v>
      </c>
      <c r="C232" s="6">
        <v>3</v>
      </c>
      <c r="D232" s="6">
        <v>2015</v>
      </c>
      <c r="E232" s="37" t="s">
        <v>1320</v>
      </c>
      <c r="F232" s="37" t="s">
        <v>1551</v>
      </c>
      <c r="G232" s="6">
        <v>5.4</v>
      </c>
    </row>
    <row r="233" spans="1:7" ht="15" customHeight="1">
      <c r="A233" s="37" t="s">
        <v>1203</v>
      </c>
      <c r="B233" s="37" t="s">
        <v>1202</v>
      </c>
      <c r="C233" s="6">
        <v>3</v>
      </c>
      <c r="D233" s="6">
        <v>2016</v>
      </c>
      <c r="E233" s="37" t="s">
        <v>1320</v>
      </c>
      <c r="F233" s="37" t="s">
        <v>1552</v>
      </c>
      <c r="G233" s="6">
        <v>4.7</v>
      </c>
    </row>
    <row r="234" spans="1:7" ht="15" customHeight="1">
      <c r="A234" s="37" t="s">
        <v>1205</v>
      </c>
      <c r="B234" s="37" t="s">
        <v>1204</v>
      </c>
      <c r="C234" s="6">
        <v>3</v>
      </c>
      <c r="D234" s="6">
        <v>2015</v>
      </c>
      <c r="E234" s="37" t="s">
        <v>1320</v>
      </c>
      <c r="F234" s="37" t="s">
        <v>1553</v>
      </c>
      <c r="G234" s="6">
        <v>3.5</v>
      </c>
    </row>
    <row r="235" spans="1:7" ht="15" customHeight="1">
      <c r="A235" s="37" t="s">
        <v>1205</v>
      </c>
      <c r="B235" s="37" t="s">
        <v>1204</v>
      </c>
      <c r="C235" s="6">
        <v>3</v>
      </c>
      <c r="D235" s="6">
        <v>2016</v>
      </c>
      <c r="E235" s="37" t="s">
        <v>1320</v>
      </c>
      <c r="F235" s="37" t="s">
        <v>1554</v>
      </c>
      <c r="G235" s="6">
        <v>3.1</v>
      </c>
    </row>
    <row r="236" spans="1:7" ht="15" customHeight="1">
      <c r="A236" s="37" t="s">
        <v>1207</v>
      </c>
      <c r="B236" s="37" t="s">
        <v>1206</v>
      </c>
      <c r="C236" s="6">
        <v>3</v>
      </c>
      <c r="D236" s="6">
        <v>2015</v>
      </c>
      <c r="E236" s="37" t="s">
        <v>1320</v>
      </c>
      <c r="F236" s="37" t="s">
        <v>1555</v>
      </c>
      <c r="G236" s="6">
        <v>5.2</v>
      </c>
    </row>
    <row r="237" spans="1:7" ht="15" customHeight="1">
      <c r="A237" s="37" t="s">
        <v>1207</v>
      </c>
      <c r="B237" s="37" t="s">
        <v>1206</v>
      </c>
      <c r="C237" s="6">
        <v>3</v>
      </c>
      <c r="D237" s="6">
        <v>2016</v>
      </c>
      <c r="E237" s="37" t="s">
        <v>1320</v>
      </c>
      <c r="F237" s="37" t="s">
        <v>1556</v>
      </c>
      <c r="G237" s="6">
        <v>4.5999999999999996</v>
      </c>
    </row>
    <row r="238" spans="1:7" ht="15" customHeight="1">
      <c r="A238" s="37" t="s">
        <v>1209</v>
      </c>
      <c r="B238" s="37" t="s">
        <v>1208</v>
      </c>
      <c r="C238" s="6">
        <v>3</v>
      </c>
      <c r="D238" s="6">
        <v>2015</v>
      </c>
      <c r="E238" s="37" t="s">
        <v>1320</v>
      </c>
      <c r="F238" s="37" t="s">
        <v>1557</v>
      </c>
      <c r="G238" s="6">
        <v>6.1</v>
      </c>
    </row>
    <row r="239" spans="1:7" ht="15" customHeight="1">
      <c r="A239" s="37" t="s">
        <v>1209</v>
      </c>
      <c r="B239" s="37" t="s">
        <v>1208</v>
      </c>
      <c r="C239" s="6">
        <v>3</v>
      </c>
      <c r="D239" s="6">
        <v>2016</v>
      </c>
      <c r="E239" s="37" t="s">
        <v>1320</v>
      </c>
      <c r="F239" s="37" t="s">
        <v>1558</v>
      </c>
      <c r="G239" s="6">
        <v>5.5</v>
      </c>
    </row>
    <row r="240" spans="1:7" ht="15" customHeight="1">
      <c r="A240" s="37" t="s">
        <v>1211</v>
      </c>
      <c r="B240" s="37" t="s">
        <v>1210</v>
      </c>
      <c r="C240" s="6">
        <v>3</v>
      </c>
      <c r="D240" s="6">
        <v>2015</v>
      </c>
      <c r="E240" s="37" t="s">
        <v>1320</v>
      </c>
      <c r="F240" s="37" t="s">
        <v>1559</v>
      </c>
      <c r="G240" s="6">
        <v>3.5</v>
      </c>
    </row>
    <row r="241" spans="1:7" ht="15" customHeight="1">
      <c r="A241" s="37" t="s">
        <v>1211</v>
      </c>
      <c r="B241" s="37" t="s">
        <v>1210</v>
      </c>
      <c r="C241" s="6">
        <v>3</v>
      </c>
      <c r="D241" s="6">
        <v>2016</v>
      </c>
      <c r="E241" s="37" t="s">
        <v>1320</v>
      </c>
      <c r="F241" s="37" t="s">
        <v>1560</v>
      </c>
      <c r="G241" s="6">
        <v>3.2</v>
      </c>
    </row>
    <row r="242" spans="1:7" ht="15" customHeight="1">
      <c r="A242" s="37" t="s">
        <v>1215</v>
      </c>
      <c r="B242" s="37" t="s">
        <v>1214</v>
      </c>
      <c r="C242" s="6">
        <v>3</v>
      </c>
      <c r="D242" s="6">
        <v>2015</v>
      </c>
      <c r="E242" s="37" t="s">
        <v>1320</v>
      </c>
      <c r="F242" s="37" t="s">
        <v>1561</v>
      </c>
      <c r="G242" s="6">
        <v>4.0999999999999996</v>
      </c>
    </row>
    <row r="243" spans="1:7" ht="15" customHeight="1">
      <c r="A243" s="37" t="s">
        <v>1215</v>
      </c>
      <c r="B243" s="37" t="s">
        <v>1214</v>
      </c>
      <c r="C243" s="6">
        <v>3</v>
      </c>
      <c r="D243" s="6">
        <v>2016</v>
      </c>
      <c r="E243" s="37" t="s">
        <v>1320</v>
      </c>
      <c r="F243" s="37" t="s">
        <v>1562</v>
      </c>
      <c r="G243" s="6">
        <v>4</v>
      </c>
    </row>
    <row r="244" spans="1:7" ht="15" customHeight="1">
      <c r="A244" s="37" t="s">
        <v>1217</v>
      </c>
      <c r="B244" s="37" t="s">
        <v>1216</v>
      </c>
      <c r="C244" s="6">
        <v>3</v>
      </c>
      <c r="D244" s="6">
        <v>2015</v>
      </c>
      <c r="E244" s="37" t="s">
        <v>1320</v>
      </c>
      <c r="F244" s="37" t="s">
        <v>1563</v>
      </c>
      <c r="G244" s="6">
        <v>3.7</v>
      </c>
    </row>
    <row r="245" spans="1:7" ht="15" customHeight="1">
      <c r="A245" s="37" t="s">
        <v>1217</v>
      </c>
      <c r="B245" s="37" t="s">
        <v>1216</v>
      </c>
      <c r="C245" s="6">
        <v>3</v>
      </c>
      <c r="D245" s="6">
        <v>2016</v>
      </c>
      <c r="E245" s="37" t="s">
        <v>1320</v>
      </c>
      <c r="F245" s="37" t="s">
        <v>1564</v>
      </c>
      <c r="G245" s="6">
        <v>3.4</v>
      </c>
    </row>
    <row r="246" spans="1:7" ht="15" customHeight="1">
      <c r="A246" s="37" t="s">
        <v>1219</v>
      </c>
      <c r="B246" s="37" t="s">
        <v>1218</v>
      </c>
      <c r="C246" s="6">
        <v>3</v>
      </c>
      <c r="D246" s="6">
        <v>2015</v>
      </c>
      <c r="E246" s="37" t="s">
        <v>1320</v>
      </c>
      <c r="F246" s="37" t="s">
        <v>1565</v>
      </c>
      <c r="G246" s="6">
        <v>4.8</v>
      </c>
    </row>
    <row r="247" spans="1:7" ht="15" customHeight="1">
      <c r="A247" s="37" t="s">
        <v>1219</v>
      </c>
      <c r="B247" s="37" t="s">
        <v>1218</v>
      </c>
      <c r="C247" s="6">
        <v>3</v>
      </c>
      <c r="D247" s="6">
        <v>2016</v>
      </c>
      <c r="E247" s="37" t="s">
        <v>1320</v>
      </c>
      <c r="F247" s="37" t="s">
        <v>1566</v>
      </c>
      <c r="G247" s="6">
        <v>4.4000000000000004</v>
      </c>
    </row>
    <row r="248" spans="1:7" ht="15" customHeight="1">
      <c r="A248" s="37" t="s">
        <v>1223</v>
      </c>
      <c r="B248" s="37" t="s">
        <v>1222</v>
      </c>
      <c r="C248" s="6">
        <v>3</v>
      </c>
      <c r="D248" s="6">
        <v>2015</v>
      </c>
      <c r="E248" s="37" t="s">
        <v>1320</v>
      </c>
      <c r="F248" s="37" t="s">
        <v>1567</v>
      </c>
      <c r="G248" s="6">
        <v>5.2</v>
      </c>
    </row>
    <row r="249" spans="1:7" ht="15" customHeight="1">
      <c r="A249" s="37" t="s">
        <v>1223</v>
      </c>
      <c r="B249" s="37" t="s">
        <v>1222</v>
      </c>
      <c r="C249" s="6">
        <v>3</v>
      </c>
      <c r="D249" s="6">
        <v>2016</v>
      </c>
      <c r="E249" s="37" t="s">
        <v>1320</v>
      </c>
      <c r="F249" s="37" t="s">
        <v>1568</v>
      </c>
      <c r="G249" s="6">
        <v>4.8</v>
      </c>
    </row>
    <row r="250" spans="1:7" ht="15" customHeight="1">
      <c r="A250" s="37" t="s">
        <v>1225</v>
      </c>
      <c r="B250" s="37" t="s">
        <v>1224</v>
      </c>
      <c r="C250" s="6">
        <v>3</v>
      </c>
      <c r="D250" s="6">
        <v>2015</v>
      </c>
      <c r="E250" s="37" t="s">
        <v>1320</v>
      </c>
      <c r="F250" s="37" t="s">
        <v>1569</v>
      </c>
      <c r="G250" s="6">
        <v>4.5999999999999996</v>
      </c>
    </row>
    <row r="251" spans="1:7" ht="15" customHeight="1">
      <c r="A251" s="37" t="s">
        <v>1225</v>
      </c>
      <c r="B251" s="37" t="s">
        <v>1224</v>
      </c>
      <c r="C251" s="6">
        <v>3</v>
      </c>
      <c r="D251" s="6">
        <v>2016</v>
      </c>
      <c r="E251" s="37" t="s">
        <v>1320</v>
      </c>
      <c r="F251" s="37" t="s">
        <v>1570</v>
      </c>
      <c r="G251" s="6">
        <v>4.2</v>
      </c>
    </row>
    <row r="252" spans="1:7" ht="15" customHeight="1">
      <c r="A252" s="37" t="s">
        <v>1221</v>
      </c>
      <c r="B252" s="37" t="s">
        <v>1220</v>
      </c>
      <c r="C252" s="6">
        <v>3</v>
      </c>
      <c r="D252" s="6">
        <v>2015</v>
      </c>
      <c r="E252" s="37" t="s">
        <v>1320</v>
      </c>
      <c r="F252" s="37" t="s">
        <v>1571</v>
      </c>
      <c r="G252" s="6">
        <v>4.5</v>
      </c>
    </row>
    <row r="253" spans="1:7" ht="15" customHeight="1">
      <c r="A253" s="37" t="s">
        <v>1221</v>
      </c>
      <c r="B253" s="37" t="s">
        <v>1220</v>
      </c>
      <c r="C253" s="6">
        <v>3</v>
      </c>
      <c r="D253" s="6">
        <v>2016</v>
      </c>
      <c r="E253" s="37" t="s">
        <v>1320</v>
      </c>
      <c r="F253" s="37" t="s">
        <v>1572</v>
      </c>
      <c r="G253" s="6">
        <v>4.0999999999999996</v>
      </c>
    </row>
    <row r="254" spans="1:7" ht="15" customHeight="1">
      <c r="A254" s="37" t="s">
        <v>1227</v>
      </c>
      <c r="B254" s="37" t="s">
        <v>1226</v>
      </c>
      <c r="C254" s="6">
        <v>3</v>
      </c>
      <c r="D254" s="6">
        <v>2015</v>
      </c>
      <c r="E254" s="37" t="s">
        <v>1320</v>
      </c>
      <c r="F254" s="37" t="s">
        <v>1573</v>
      </c>
      <c r="G254" s="6">
        <v>6.7</v>
      </c>
    </row>
    <row r="255" spans="1:7" ht="15" customHeight="1">
      <c r="A255" s="37" t="s">
        <v>1227</v>
      </c>
      <c r="B255" s="37" t="s">
        <v>1226</v>
      </c>
      <c r="C255" s="6">
        <v>3</v>
      </c>
      <c r="D255" s="6">
        <v>2016</v>
      </c>
      <c r="E255" s="37" t="s">
        <v>1320</v>
      </c>
      <c r="F255" s="37" t="s">
        <v>1574</v>
      </c>
      <c r="G255" s="6">
        <v>5.7</v>
      </c>
    </row>
    <row r="256" spans="1:7" ht="15" customHeight="1">
      <c r="A256" s="37" t="s">
        <v>1233</v>
      </c>
      <c r="B256" s="37" t="s">
        <v>1232</v>
      </c>
      <c r="C256" s="6">
        <v>3</v>
      </c>
      <c r="D256" s="6">
        <v>2015</v>
      </c>
      <c r="E256" s="37" t="s">
        <v>1320</v>
      </c>
      <c r="F256" s="37" t="s">
        <v>1575</v>
      </c>
      <c r="G256" s="6">
        <v>6.1</v>
      </c>
    </row>
    <row r="257" spans="1:7" ht="15" customHeight="1">
      <c r="A257" s="37" t="s">
        <v>1233</v>
      </c>
      <c r="B257" s="37" t="s">
        <v>1232</v>
      </c>
      <c r="C257" s="6">
        <v>3</v>
      </c>
      <c r="D257" s="6">
        <v>2016</v>
      </c>
      <c r="E257" s="37" t="s">
        <v>1320</v>
      </c>
      <c r="F257" s="37" t="s">
        <v>1576</v>
      </c>
      <c r="G257" s="6">
        <v>5.4</v>
      </c>
    </row>
    <row r="258" spans="1:7" ht="15" customHeight="1">
      <c r="A258" s="37" t="s">
        <v>1237</v>
      </c>
      <c r="B258" s="37" t="s">
        <v>1236</v>
      </c>
      <c r="C258" s="6">
        <v>3</v>
      </c>
      <c r="D258" s="6">
        <v>2015</v>
      </c>
      <c r="E258" s="37" t="s">
        <v>1320</v>
      </c>
      <c r="F258" s="37" t="s">
        <v>1577</v>
      </c>
      <c r="G258" s="6">
        <v>7.4</v>
      </c>
    </row>
    <row r="259" spans="1:7" ht="15" customHeight="1">
      <c r="A259" s="37" t="s">
        <v>1237</v>
      </c>
      <c r="B259" s="37" t="s">
        <v>1236</v>
      </c>
      <c r="C259" s="6">
        <v>3</v>
      </c>
      <c r="D259" s="6">
        <v>2016</v>
      </c>
      <c r="E259" s="37" t="s">
        <v>1320</v>
      </c>
      <c r="F259" s="37" t="s">
        <v>1578</v>
      </c>
      <c r="G259" s="6">
        <v>6.1</v>
      </c>
    </row>
    <row r="260" spans="1:7" ht="15" customHeight="1">
      <c r="A260" s="37" t="s">
        <v>1239</v>
      </c>
      <c r="B260" s="37" t="s">
        <v>1238</v>
      </c>
      <c r="C260" s="6">
        <v>3</v>
      </c>
      <c r="D260" s="6">
        <v>2015</v>
      </c>
      <c r="E260" s="37" t="s">
        <v>1320</v>
      </c>
      <c r="F260" s="37" t="s">
        <v>1579</v>
      </c>
      <c r="G260" s="6">
        <v>4.9000000000000004</v>
      </c>
    </row>
    <row r="261" spans="1:7" ht="15" customHeight="1">
      <c r="A261" s="37" t="s">
        <v>1239</v>
      </c>
      <c r="B261" s="37" t="s">
        <v>1238</v>
      </c>
      <c r="C261" s="6">
        <v>3</v>
      </c>
      <c r="D261" s="6">
        <v>2016</v>
      </c>
      <c r="E261" s="37" t="s">
        <v>1320</v>
      </c>
      <c r="F261" s="37" t="s">
        <v>1580</v>
      </c>
      <c r="G261" s="6">
        <v>4</v>
      </c>
    </row>
    <row r="262" spans="1:7" ht="15" customHeight="1">
      <c r="A262" s="37" t="s">
        <v>1241</v>
      </c>
      <c r="B262" s="37" t="s">
        <v>1240</v>
      </c>
      <c r="C262" s="6">
        <v>3</v>
      </c>
      <c r="D262" s="6">
        <v>2015</v>
      </c>
      <c r="E262" s="37" t="s">
        <v>1320</v>
      </c>
      <c r="F262" s="37" t="s">
        <v>1581</v>
      </c>
      <c r="G262" s="6">
        <v>6.5</v>
      </c>
    </row>
    <row r="263" spans="1:7" ht="15" customHeight="1">
      <c r="A263" s="37" t="s">
        <v>1241</v>
      </c>
      <c r="B263" s="37" t="s">
        <v>1240</v>
      </c>
      <c r="C263" s="6">
        <v>3</v>
      </c>
      <c r="D263" s="6">
        <v>2016</v>
      </c>
      <c r="E263" s="37" t="s">
        <v>1320</v>
      </c>
      <c r="F263" s="37" t="s">
        <v>1582</v>
      </c>
      <c r="G263" s="6">
        <v>5.9</v>
      </c>
    </row>
    <row r="264" spans="1:7" ht="15" customHeight="1">
      <c r="A264" s="37" t="s">
        <v>1243</v>
      </c>
      <c r="B264" s="37" t="s">
        <v>1242</v>
      </c>
      <c r="C264" s="6">
        <v>3</v>
      </c>
      <c r="D264" s="6">
        <v>2015</v>
      </c>
      <c r="E264" s="37" t="s">
        <v>1320</v>
      </c>
      <c r="F264" s="37" t="s">
        <v>1583</v>
      </c>
      <c r="G264" s="6">
        <v>4.5</v>
      </c>
    </row>
    <row r="265" spans="1:7" ht="15" customHeight="1">
      <c r="A265" s="37" t="s">
        <v>1243</v>
      </c>
      <c r="B265" s="37" t="s">
        <v>1242</v>
      </c>
      <c r="C265" s="6">
        <v>3</v>
      </c>
      <c r="D265" s="6">
        <v>2016</v>
      </c>
      <c r="E265" s="37" t="s">
        <v>1320</v>
      </c>
      <c r="F265" s="37" t="s">
        <v>1584</v>
      </c>
      <c r="G265" s="6">
        <v>4.0999999999999996</v>
      </c>
    </row>
    <row r="266" spans="1:7" ht="15" customHeight="1">
      <c r="A266" s="37" t="s">
        <v>1245</v>
      </c>
      <c r="B266" s="37" t="s">
        <v>1244</v>
      </c>
      <c r="C266" s="6">
        <v>3</v>
      </c>
      <c r="D266" s="6">
        <v>2015</v>
      </c>
      <c r="E266" s="37" t="s">
        <v>1320</v>
      </c>
      <c r="F266" s="37" t="s">
        <v>1585</v>
      </c>
      <c r="G266" s="6">
        <v>5</v>
      </c>
    </row>
    <row r="267" spans="1:7" ht="15" customHeight="1">
      <c r="A267" s="37" t="s">
        <v>1245</v>
      </c>
      <c r="B267" s="37" t="s">
        <v>1244</v>
      </c>
      <c r="C267" s="6">
        <v>3</v>
      </c>
      <c r="D267" s="6">
        <v>2016</v>
      </c>
      <c r="E267" s="37" t="s">
        <v>1320</v>
      </c>
      <c r="F267" s="37" t="s">
        <v>1586</v>
      </c>
      <c r="G267" s="6">
        <v>4.3</v>
      </c>
    </row>
    <row r="268" spans="1:7" ht="15" customHeight="1">
      <c r="A268" s="37" t="s">
        <v>1247</v>
      </c>
      <c r="B268" s="37" t="s">
        <v>1246</v>
      </c>
      <c r="C268" s="6">
        <v>3</v>
      </c>
      <c r="D268" s="6">
        <v>2015</v>
      </c>
      <c r="E268" s="37" t="s">
        <v>1320</v>
      </c>
      <c r="F268" s="37" t="s">
        <v>1587</v>
      </c>
      <c r="G268" s="6">
        <v>5.3</v>
      </c>
    </row>
    <row r="269" spans="1:7" ht="15" customHeight="1">
      <c r="A269" s="37" t="s">
        <v>1247</v>
      </c>
      <c r="B269" s="37" t="s">
        <v>1246</v>
      </c>
      <c r="C269" s="6">
        <v>3</v>
      </c>
      <c r="D269" s="6">
        <v>2016</v>
      </c>
      <c r="E269" s="37" t="s">
        <v>1320</v>
      </c>
      <c r="F269" s="37" t="s">
        <v>1588</v>
      </c>
      <c r="G269" s="6">
        <v>5.0999999999999996</v>
      </c>
    </row>
    <row r="270" spans="1:7" ht="15" customHeight="1">
      <c r="A270" s="37" t="s">
        <v>1251</v>
      </c>
      <c r="B270" s="37" t="s">
        <v>1250</v>
      </c>
      <c r="C270" s="6">
        <v>3</v>
      </c>
      <c r="D270" s="6">
        <v>2015</v>
      </c>
      <c r="E270" s="37" t="s">
        <v>1320</v>
      </c>
      <c r="F270" s="37" t="s">
        <v>1589</v>
      </c>
      <c r="G270" s="6">
        <v>3.8</v>
      </c>
    </row>
    <row r="271" spans="1:7" ht="15" customHeight="1">
      <c r="A271" s="37" t="s">
        <v>1251</v>
      </c>
      <c r="B271" s="37" t="s">
        <v>1250</v>
      </c>
      <c r="C271" s="6">
        <v>3</v>
      </c>
      <c r="D271" s="6">
        <v>2016</v>
      </c>
      <c r="E271" s="37" t="s">
        <v>1320</v>
      </c>
      <c r="F271" s="37" t="s">
        <v>1590</v>
      </c>
      <c r="G271" s="6">
        <v>3.5</v>
      </c>
    </row>
    <row r="272" spans="1:7" ht="15" customHeight="1">
      <c r="A272" s="37" t="s">
        <v>1257</v>
      </c>
      <c r="B272" s="37" t="s">
        <v>1256</v>
      </c>
      <c r="C272" s="6">
        <v>3</v>
      </c>
      <c r="D272" s="6">
        <v>2015</v>
      </c>
      <c r="E272" s="37" t="s">
        <v>1320</v>
      </c>
      <c r="F272" s="37" t="s">
        <v>1591</v>
      </c>
      <c r="G272" s="6">
        <v>4.7</v>
      </c>
    </row>
    <row r="273" spans="1:7" ht="15" customHeight="1">
      <c r="A273" s="37" t="s">
        <v>1257</v>
      </c>
      <c r="B273" s="37" t="s">
        <v>1256</v>
      </c>
      <c r="C273" s="6">
        <v>3</v>
      </c>
      <c r="D273" s="6">
        <v>2016</v>
      </c>
      <c r="E273" s="37" t="s">
        <v>1320</v>
      </c>
      <c r="F273" s="37" t="s">
        <v>1592</v>
      </c>
      <c r="G273" s="6">
        <v>4.2</v>
      </c>
    </row>
    <row r="274" spans="1:7" ht="15" customHeight="1">
      <c r="A274" s="37" t="s">
        <v>1259</v>
      </c>
      <c r="B274" s="37" t="s">
        <v>1258</v>
      </c>
      <c r="C274" s="6">
        <v>3</v>
      </c>
      <c r="D274" s="6">
        <v>2015</v>
      </c>
      <c r="E274" s="37" t="s">
        <v>1320</v>
      </c>
      <c r="F274" s="37" t="s">
        <v>1593</v>
      </c>
      <c r="G274" s="6">
        <v>4.8</v>
      </c>
    </row>
    <row r="275" spans="1:7" ht="15" customHeight="1">
      <c r="A275" s="37" t="s">
        <v>1259</v>
      </c>
      <c r="B275" s="37" t="s">
        <v>1258</v>
      </c>
      <c r="C275" s="6">
        <v>3</v>
      </c>
      <c r="D275" s="6">
        <v>2016</v>
      </c>
      <c r="E275" s="37" t="s">
        <v>1320</v>
      </c>
      <c r="F275" s="37" t="s">
        <v>1594</v>
      </c>
      <c r="G275" s="6">
        <v>4.3</v>
      </c>
    </row>
    <row r="276" spans="1:7" ht="15" customHeight="1">
      <c r="A276" s="37" t="s">
        <v>1261</v>
      </c>
      <c r="B276" s="37" t="s">
        <v>1260</v>
      </c>
      <c r="C276" s="6">
        <v>3</v>
      </c>
      <c r="D276" s="6">
        <v>2015</v>
      </c>
      <c r="E276" s="37" t="s">
        <v>1320</v>
      </c>
      <c r="F276" s="37" t="s">
        <v>1595</v>
      </c>
      <c r="G276" s="6">
        <v>5.5</v>
      </c>
    </row>
    <row r="277" spans="1:7" ht="15" customHeight="1">
      <c r="A277" s="37" t="s">
        <v>1261</v>
      </c>
      <c r="B277" s="37" t="s">
        <v>1260</v>
      </c>
      <c r="C277" s="6">
        <v>3</v>
      </c>
      <c r="D277" s="6">
        <v>2016</v>
      </c>
      <c r="E277" s="37" t="s">
        <v>1320</v>
      </c>
      <c r="F277" s="37" t="s">
        <v>1596</v>
      </c>
      <c r="G277" s="6">
        <v>4.9000000000000004</v>
      </c>
    </row>
    <row r="278" spans="1:7" ht="15" customHeight="1">
      <c r="A278" s="37" t="s">
        <v>1263</v>
      </c>
      <c r="B278" s="37" t="s">
        <v>1262</v>
      </c>
      <c r="C278" s="6">
        <v>3</v>
      </c>
      <c r="D278" s="6">
        <v>2015</v>
      </c>
      <c r="E278" s="37" t="s">
        <v>1320</v>
      </c>
      <c r="F278" s="37" t="s">
        <v>1597</v>
      </c>
      <c r="G278" s="6">
        <v>5.9</v>
      </c>
    </row>
    <row r="279" spans="1:7" ht="15" customHeight="1">
      <c r="A279" s="37" t="s">
        <v>1263</v>
      </c>
      <c r="B279" s="37" t="s">
        <v>1262</v>
      </c>
      <c r="C279" s="6">
        <v>3</v>
      </c>
      <c r="D279" s="6">
        <v>2016</v>
      </c>
      <c r="E279" s="37" t="s">
        <v>1320</v>
      </c>
      <c r="F279" s="37" t="s">
        <v>1598</v>
      </c>
      <c r="G279" s="6">
        <v>5</v>
      </c>
    </row>
    <row r="280" spans="1:7" ht="15" customHeight="1">
      <c r="A280" s="37" t="s">
        <v>1265</v>
      </c>
      <c r="B280" s="37" t="s">
        <v>1264</v>
      </c>
      <c r="C280" s="6">
        <v>3</v>
      </c>
      <c r="D280" s="6">
        <v>2015</v>
      </c>
      <c r="E280" s="37" t="s">
        <v>1320</v>
      </c>
      <c r="F280" s="37" t="s">
        <v>1599</v>
      </c>
      <c r="G280" s="6">
        <v>4.8</v>
      </c>
    </row>
    <row r="281" spans="1:7" ht="15" customHeight="1">
      <c r="A281" s="37" t="s">
        <v>1265</v>
      </c>
      <c r="B281" s="37" t="s">
        <v>1264</v>
      </c>
      <c r="C281" s="6">
        <v>3</v>
      </c>
      <c r="D281" s="6">
        <v>2016</v>
      </c>
      <c r="E281" s="37" t="s">
        <v>1320</v>
      </c>
      <c r="F281" s="37" t="s">
        <v>1600</v>
      </c>
      <c r="G281" s="6">
        <v>4.3</v>
      </c>
    </row>
    <row r="282" spans="1:7" ht="15" customHeight="1">
      <c r="A282" s="37" t="s">
        <v>1267</v>
      </c>
      <c r="B282" s="37" t="s">
        <v>1266</v>
      </c>
      <c r="C282" s="6">
        <v>3</v>
      </c>
      <c r="D282" s="6">
        <v>2015</v>
      </c>
      <c r="E282" s="37" t="s">
        <v>1320</v>
      </c>
      <c r="F282" s="37" t="s">
        <v>1601</v>
      </c>
      <c r="G282" s="6">
        <v>4.9000000000000004</v>
      </c>
    </row>
    <row r="283" spans="1:7" ht="15" customHeight="1">
      <c r="A283" s="37" t="s">
        <v>1267</v>
      </c>
      <c r="B283" s="37" t="s">
        <v>1266</v>
      </c>
      <c r="C283" s="6">
        <v>3</v>
      </c>
      <c r="D283" s="6">
        <v>2016</v>
      </c>
      <c r="E283" s="37" t="s">
        <v>1320</v>
      </c>
      <c r="F283" s="37" t="s">
        <v>1602</v>
      </c>
      <c r="G283" s="6">
        <v>4.2</v>
      </c>
    </row>
    <row r="284" spans="1:7" ht="15" customHeight="1">
      <c r="A284" s="37" t="s">
        <v>1269</v>
      </c>
      <c r="B284" s="37" t="s">
        <v>1268</v>
      </c>
      <c r="C284" s="6">
        <v>3</v>
      </c>
      <c r="D284" s="6">
        <v>2015</v>
      </c>
      <c r="E284" s="37" t="s">
        <v>1320</v>
      </c>
      <c r="F284" s="37" t="s">
        <v>1603</v>
      </c>
      <c r="G284" s="6">
        <v>3.9</v>
      </c>
    </row>
    <row r="285" spans="1:7" ht="15" customHeight="1">
      <c r="A285" s="37" t="s">
        <v>1269</v>
      </c>
      <c r="B285" s="37" t="s">
        <v>1268</v>
      </c>
      <c r="C285" s="6">
        <v>3</v>
      </c>
      <c r="D285" s="6">
        <v>2016</v>
      </c>
      <c r="E285" s="37" t="s">
        <v>1320</v>
      </c>
      <c r="F285" s="37" t="s">
        <v>1604</v>
      </c>
      <c r="G285" s="6">
        <v>3.2</v>
      </c>
    </row>
    <row r="286" spans="1:7" ht="15" customHeight="1">
      <c r="A286" s="37" t="s">
        <v>1275</v>
      </c>
      <c r="B286" s="37" t="s">
        <v>1274</v>
      </c>
      <c r="C286" s="6">
        <v>3</v>
      </c>
      <c r="D286" s="6">
        <v>2015</v>
      </c>
      <c r="E286" s="37" t="s">
        <v>1320</v>
      </c>
      <c r="F286" s="37" t="s">
        <v>1605</v>
      </c>
      <c r="G286" s="6">
        <v>5.0999999999999996</v>
      </c>
    </row>
    <row r="287" spans="1:7" ht="15" customHeight="1">
      <c r="A287" s="37" t="s">
        <v>1275</v>
      </c>
      <c r="B287" s="37" t="s">
        <v>1274</v>
      </c>
      <c r="C287" s="6">
        <v>3</v>
      </c>
      <c r="D287" s="6">
        <v>2016</v>
      </c>
      <c r="E287" s="37" t="s">
        <v>1320</v>
      </c>
      <c r="F287" s="37" t="s">
        <v>1606</v>
      </c>
      <c r="G287" s="6">
        <v>4.5999999999999996</v>
      </c>
    </row>
    <row r="288" spans="1:7" ht="15" customHeight="1">
      <c r="A288" s="37" t="s">
        <v>1277</v>
      </c>
      <c r="B288" s="37" t="s">
        <v>1276</v>
      </c>
      <c r="C288" s="6">
        <v>3</v>
      </c>
      <c r="D288" s="6">
        <v>2015</v>
      </c>
      <c r="E288" s="37" t="s">
        <v>1320</v>
      </c>
      <c r="F288" s="37" t="s">
        <v>1607</v>
      </c>
      <c r="G288" s="6">
        <v>4.9000000000000004</v>
      </c>
    </row>
    <row r="289" spans="1:7" ht="15" customHeight="1">
      <c r="A289" s="37" t="s">
        <v>1277</v>
      </c>
      <c r="B289" s="37" t="s">
        <v>1276</v>
      </c>
      <c r="C289" s="6">
        <v>3</v>
      </c>
      <c r="D289" s="6">
        <v>2016</v>
      </c>
      <c r="E289" s="37" t="s">
        <v>1320</v>
      </c>
      <c r="F289" s="37" t="s">
        <v>1608</v>
      </c>
      <c r="G289" s="6">
        <v>4.4000000000000004</v>
      </c>
    </row>
    <row r="290" spans="1:7" ht="15" customHeight="1">
      <c r="A290" s="37" t="s">
        <v>1283</v>
      </c>
      <c r="B290" s="37" t="s">
        <v>1282</v>
      </c>
      <c r="C290" s="6">
        <v>3</v>
      </c>
      <c r="D290" s="6">
        <v>2015</v>
      </c>
      <c r="E290" s="37" t="s">
        <v>1320</v>
      </c>
      <c r="F290" s="37" t="s">
        <v>1609</v>
      </c>
      <c r="G290" s="6">
        <v>4.9000000000000004</v>
      </c>
    </row>
    <row r="291" spans="1:7" ht="15" customHeight="1">
      <c r="A291" s="37" t="s">
        <v>1283</v>
      </c>
      <c r="B291" s="37" t="s">
        <v>1282</v>
      </c>
      <c r="C291" s="6">
        <v>3</v>
      </c>
      <c r="D291" s="6">
        <v>2016</v>
      </c>
      <c r="E291" s="37" t="s">
        <v>1320</v>
      </c>
      <c r="F291" s="37" t="s">
        <v>1610</v>
      </c>
      <c r="G291" s="6">
        <v>4.5999999999999996</v>
      </c>
    </row>
    <row r="292" spans="1:7" ht="15" customHeight="1">
      <c r="A292" s="37" t="s">
        <v>1279</v>
      </c>
      <c r="B292" s="37" t="s">
        <v>1278</v>
      </c>
      <c r="C292" s="6">
        <v>3</v>
      </c>
      <c r="D292" s="6">
        <v>2015</v>
      </c>
      <c r="E292" s="37" t="s">
        <v>1320</v>
      </c>
      <c r="F292" s="37" t="s">
        <v>1611</v>
      </c>
      <c r="G292" s="6">
        <v>4.0999999999999996</v>
      </c>
    </row>
    <row r="293" spans="1:7" ht="15" customHeight="1">
      <c r="A293" s="37" t="s">
        <v>1279</v>
      </c>
      <c r="B293" s="37" t="s">
        <v>1278</v>
      </c>
      <c r="C293" s="6">
        <v>3</v>
      </c>
      <c r="D293" s="6">
        <v>2016</v>
      </c>
      <c r="E293" s="37" t="s">
        <v>1320</v>
      </c>
      <c r="F293" s="37" t="s">
        <v>1612</v>
      </c>
      <c r="G293" s="6">
        <v>3.7</v>
      </c>
    </row>
    <row r="294" spans="1:7" ht="15" customHeight="1">
      <c r="A294" s="37" t="s">
        <v>1285</v>
      </c>
      <c r="B294" s="37" t="s">
        <v>1284</v>
      </c>
      <c r="C294" s="6">
        <v>3</v>
      </c>
      <c r="D294" s="6">
        <v>2015</v>
      </c>
      <c r="E294" s="37" t="s">
        <v>1320</v>
      </c>
      <c r="F294" s="37" t="s">
        <v>1613</v>
      </c>
      <c r="G294" s="6">
        <v>4.3</v>
      </c>
    </row>
    <row r="295" spans="1:7" ht="15" customHeight="1">
      <c r="A295" s="37" t="s">
        <v>1285</v>
      </c>
      <c r="B295" s="37" t="s">
        <v>1284</v>
      </c>
      <c r="C295" s="6">
        <v>3</v>
      </c>
      <c r="D295" s="6">
        <v>2016</v>
      </c>
      <c r="E295" s="37" t="s">
        <v>1320</v>
      </c>
      <c r="F295" s="37" t="s">
        <v>1614</v>
      </c>
      <c r="G295" s="6">
        <v>4</v>
      </c>
    </row>
    <row r="296" spans="1:7" ht="15" customHeight="1">
      <c r="A296" s="37" t="s">
        <v>1287</v>
      </c>
      <c r="B296" s="37" t="s">
        <v>1286</v>
      </c>
      <c r="C296" s="6">
        <v>3</v>
      </c>
      <c r="D296" s="6">
        <v>2015</v>
      </c>
      <c r="E296" s="37" t="s">
        <v>1320</v>
      </c>
      <c r="F296" s="37" t="s">
        <v>1615</v>
      </c>
      <c r="G296" s="6">
        <v>4.2</v>
      </c>
    </row>
    <row r="297" spans="1:7" ht="15" customHeight="1">
      <c r="A297" s="37" t="s">
        <v>1287</v>
      </c>
      <c r="B297" s="37" t="s">
        <v>1286</v>
      </c>
      <c r="C297" s="6">
        <v>3</v>
      </c>
      <c r="D297" s="6">
        <v>2016</v>
      </c>
      <c r="E297" s="37" t="s">
        <v>1320</v>
      </c>
      <c r="F297" s="37" t="s">
        <v>1616</v>
      </c>
      <c r="G297" s="6">
        <v>3.7</v>
      </c>
    </row>
    <row r="298" spans="1:7" ht="15" customHeight="1">
      <c r="A298" s="37" t="s">
        <v>1289</v>
      </c>
      <c r="B298" s="37" t="s">
        <v>1288</v>
      </c>
      <c r="C298" s="6">
        <v>3</v>
      </c>
      <c r="D298" s="6">
        <v>2015</v>
      </c>
      <c r="E298" s="37" t="s">
        <v>1320</v>
      </c>
      <c r="F298" s="37" t="s">
        <v>1617</v>
      </c>
      <c r="G298" s="6">
        <v>4.9000000000000004</v>
      </c>
    </row>
    <row r="299" spans="1:7" ht="15" customHeight="1">
      <c r="A299" s="37" t="s">
        <v>1289</v>
      </c>
      <c r="B299" s="37" t="s">
        <v>1288</v>
      </c>
      <c r="C299" s="6">
        <v>3</v>
      </c>
      <c r="D299" s="6">
        <v>2016</v>
      </c>
      <c r="E299" s="37" t="s">
        <v>1320</v>
      </c>
      <c r="F299" s="37" t="s">
        <v>1618</v>
      </c>
      <c r="G299" s="6">
        <v>4.5</v>
      </c>
    </row>
    <row r="300" spans="1:7" ht="15" customHeight="1">
      <c r="A300" s="37" t="s">
        <v>1291</v>
      </c>
      <c r="B300" s="37" t="s">
        <v>1290</v>
      </c>
      <c r="C300" s="6">
        <v>3</v>
      </c>
      <c r="D300" s="6">
        <v>2015</v>
      </c>
      <c r="E300" s="37" t="s">
        <v>1320</v>
      </c>
      <c r="F300" s="37" t="s">
        <v>1619</v>
      </c>
      <c r="G300" s="6">
        <v>4.3</v>
      </c>
    </row>
    <row r="301" spans="1:7" ht="15" customHeight="1">
      <c r="A301" s="37" t="s">
        <v>1291</v>
      </c>
      <c r="B301" s="37" t="s">
        <v>1290</v>
      </c>
      <c r="C301" s="6">
        <v>3</v>
      </c>
      <c r="D301" s="6">
        <v>2016</v>
      </c>
      <c r="E301" s="37" t="s">
        <v>1320</v>
      </c>
      <c r="F301" s="37" t="s">
        <v>1620</v>
      </c>
      <c r="G301" s="6">
        <v>3.9</v>
      </c>
    </row>
    <row r="302" spans="1:7" ht="15" customHeight="1">
      <c r="A302" s="37" t="s">
        <v>1293</v>
      </c>
      <c r="B302" s="37" t="s">
        <v>1292</v>
      </c>
      <c r="C302" s="6">
        <v>3</v>
      </c>
      <c r="D302" s="6">
        <v>2015</v>
      </c>
      <c r="E302" s="37" t="s">
        <v>1320</v>
      </c>
      <c r="F302" s="37" t="s">
        <v>1621</v>
      </c>
      <c r="G302" s="6">
        <v>4.0999999999999996</v>
      </c>
    </row>
    <row r="303" spans="1:7" ht="15" customHeight="1">
      <c r="A303" s="37" t="s">
        <v>1293</v>
      </c>
      <c r="B303" s="37" t="s">
        <v>1292</v>
      </c>
      <c r="C303" s="6">
        <v>3</v>
      </c>
      <c r="D303" s="6">
        <v>2016</v>
      </c>
      <c r="E303" s="37" t="s">
        <v>1320</v>
      </c>
      <c r="F303" s="37" t="s">
        <v>1622</v>
      </c>
      <c r="G303" s="6">
        <v>3.9</v>
      </c>
    </row>
    <row r="304" spans="1:7" ht="15" customHeight="1">
      <c r="A304" s="37" t="s">
        <v>1295</v>
      </c>
      <c r="B304" s="37" t="s">
        <v>1294</v>
      </c>
      <c r="C304" s="6">
        <v>3</v>
      </c>
      <c r="D304" s="6">
        <v>2015</v>
      </c>
      <c r="E304" s="37" t="s">
        <v>1320</v>
      </c>
      <c r="F304" s="37" t="s">
        <v>1623</v>
      </c>
      <c r="G304" s="6">
        <v>6</v>
      </c>
    </row>
    <row r="305" spans="1:7" ht="15" customHeight="1">
      <c r="A305" s="37" t="s">
        <v>1295</v>
      </c>
      <c r="B305" s="37" t="s">
        <v>1294</v>
      </c>
      <c r="C305" s="6">
        <v>3</v>
      </c>
      <c r="D305" s="6">
        <v>2016</v>
      </c>
      <c r="E305" s="37" t="s">
        <v>1320</v>
      </c>
      <c r="F305" s="37" t="s">
        <v>1624</v>
      </c>
      <c r="G305" s="6">
        <v>5.3</v>
      </c>
    </row>
    <row r="306" spans="1:7" ht="15" customHeight="1">
      <c r="A306" s="37" t="s">
        <v>1299</v>
      </c>
      <c r="B306" s="37" t="s">
        <v>1298</v>
      </c>
      <c r="C306" s="6">
        <v>3</v>
      </c>
      <c r="D306" s="6">
        <v>2015</v>
      </c>
      <c r="E306" s="37" t="s">
        <v>1320</v>
      </c>
      <c r="F306" s="37" t="s">
        <v>1625</v>
      </c>
      <c r="G306" s="6">
        <v>7.1</v>
      </c>
    </row>
    <row r="307" spans="1:7" ht="15" customHeight="1">
      <c r="A307" s="37" t="s">
        <v>1299</v>
      </c>
      <c r="B307" s="37" t="s">
        <v>1298</v>
      </c>
      <c r="C307" s="6">
        <v>3</v>
      </c>
      <c r="D307" s="6">
        <v>2016</v>
      </c>
      <c r="E307" s="37" t="s">
        <v>1320</v>
      </c>
      <c r="F307" s="37" t="s">
        <v>1626</v>
      </c>
      <c r="G307" s="6">
        <v>6.1</v>
      </c>
    </row>
    <row r="308" spans="1:7" ht="15" customHeight="1">
      <c r="A308" s="37" t="s">
        <v>1303</v>
      </c>
      <c r="B308" s="37" t="s">
        <v>1302</v>
      </c>
      <c r="C308" s="6">
        <v>3</v>
      </c>
      <c r="D308" s="6">
        <v>2015</v>
      </c>
      <c r="E308" s="37" t="s">
        <v>1320</v>
      </c>
      <c r="F308" s="37" t="s">
        <v>1627</v>
      </c>
      <c r="G308" s="6">
        <v>5.5</v>
      </c>
    </row>
    <row r="309" spans="1:7" ht="15" customHeight="1">
      <c r="A309" s="37" t="s">
        <v>1303</v>
      </c>
      <c r="B309" s="37" t="s">
        <v>1302</v>
      </c>
      <c r="C309" s="6">
        <v>3</v>
      </c>
      <c r="D309" s="6">
        <v>2016</v>
      </c>
      <c r="E309" s="37" t="s">
        <v>1320</v>
      </c>
      <c r="F309" s="37" t="s">
        <v>1628</v>
      </c>
      <c r="G309" s="6">
        <v>4.9000000000000004</v>
      </c>
    </row>
    <row r="310" spans="1:7" ht="15" customHeight="1">
      <c r="A310" s="37" t="s">
        <v>1301</v>
      </c>
      <c r="B310" s="37" t="s">
        <v>1300</v>
      </c>
      <c r="C310" s="6">
        <v>3</v>
      </c>
      <c r="D310" s="6">
        <v>2015</v>
      </c>
      <c r="E310" s="37" t="s">
        <v>1320</v>
      </c>
      <c r="F310" s="37" t="s">
        <v>1629</v>
      </c>
      <c r="G310" s="6">
        <v>5.5</v>
      </c>
    </row>
    <row r="311" spans="1:7" ht="15" customHeight="1">
      <c r="A311" s="37" t="s">
        <v>1301</v>
      </c>
      <c r="B311" s="37" t="s">
        <v>1300</v>
      </c>
      <c r="C311" s="6">
        <v>3</v>
      </c>
      <c r="D311" s="6">
        <v>2016</v>
      </c>
      <c r="E311" s="37" t="s">
        <v>1320</v>
      </c>
      <c r="F311" s="37" t="s">
        <v>1630</v>
      </c>
      <c r="G311" s="6">
        <v>5.2</v>
      </c>
    </row>
    <row r="312" spans="1:7" ht="15" customHeight="1">
      <c r="A312" s="37" t="s">
        <v>1305</v>
      </c>
      <c r="B312" s="37" t="s">
        <v>1304</v>
      </c>
      <c r="C312" s="6">
        <v>3</v>
      </c>
      <c r="D312" s="6">
        <v>2015</v>
      </c>
      <c r="E312" s="37" t="s">
        <v>1320</v>
      </c>
      <c r="F312" s="37" t="s">
        <v>1631</v>
      </c>
      <c r="G312" s="6">
        <v>4.7</v>
      </c>
    </row>
    <row r="313" spans="1:7" ht="15" customHeight="1">
      <c r="A313" s="37" t="s">
        <v>1305</v>
      </c>
      <c r="B313" s="37" t="s">
        <v>1304</v>
      </c>
      <c r="C313" s="6">
        <v>3</v>
      </c>
      <c r="D313" s="6">
        <v>2016</v>
      </c>
      <c r="E313" s="37" t="s">
        <v>1320</v>
      </c>
      <c r="F313" s="37" t="s">
        <v>1632</v>
      </c>
      <c r="G313" s="6">
        <v>4.3</v>
      </c>
    </row>
    <row r="314" spans="1:7" ht="15" customHeight="1">
      <c r="A314" s="37" t="s">
        <v>1307</v>
      </c>
      <c r="B314" s="37" t="s">
        <v>1306</v>
      </c>
      <c r="C314" s="6">
        <v>3</v>
      </c>
      <c r="D314" s="6">
        <v>2015</v>
      </c>
      <c r="E314" s="37" t="s">
        <v>1320</v>
      </c>
      <c r="F314" s="37" t="s">
        <v>1633</v>
      </c>
      <c r="G314" s="6">
        <v>3.9</v>
      </c>
    </row>
    <row r="315" spans="1:7" ht="15" customHeight="1">
      <c r="A315" s="37" t="s">
        <v>1307</v>
      </c>
      <c r="B315" s="37" t="s">
        <v>1306</v>
      </c>
      <c r="C315" s="6">
        <v>3</v>
      </c>
      <c r="D315" s="6">
        <v>2016</v>
      </c>
      <c r="E315" s="37" t="s">
        <v>1320</v>
      </c>
      <c r="F315" s="37" t="s">
        <v>1634</v>
      </c>
      <c r="G315" s="6">
        <v>3.4</v>
      </c>
    </row>
    <row r="316" spans="1:7" ht="15" customHeight="1">
      <c r="A316" s="37" t="s">
        <v>1309</v>
      </c>
      <c r="B316" s="37" t="s">
        <v>1308</v>
      </c>
      <c r="C316" s="6">
        <v>3</v>
      </c>
      <c r="D316" s="6">
        <v>2015</v>
      </c>
      <c r="E316" s="37" t="s">
        <v>1320</v>
      </c>
      <c r="F316" s="37" t="s">
        <v>1635</v>
      </c>
      <c r="G316" s="6">
        <v>4.3</v>
      </c>
    </row>
    <row r="317" spans="1:7" ht="15" customHeight="1">
      <c r="A317" s="37" t="s">
        <v>1309</v>
      </c>
      <c r="B317" s="37" t="s">
        <v>1308</v>
      </c>
      <c r="C317" s="6">
        <v>3</v>
      </c>
      <c r="D317" s="6">
        <v>2016</v>
      </c>
      <c r="E317" s="37" t="s">
        <v>1320</v>
      </c>
      <c r="F317" s="37" t="s">
        <v>1636</v>
      </c>
      <c r="G317" s="6">
        <v>3.9</v>
      </c>
    </row>
    <row r="318" spans="1:7" ht="15" customHeight="1">
      <c r="A318" s="37" t="s">
        <v>1311</v>
      </c>
      <c r="B318" s="37" t="s">
        <v>1310</v>
      </c>
      <c r="C318" s="6">
        <v>3</v>
      </c>
      <c r="D318" s="6">
        <v>2015</v>
      </c>
      <c r="E318" s="37" t="s">
        <v>1320</v>
      </c>
      <c r="F318" s="37" t="s">
        <v>1637</v>
      </c>
      <c r="G318" s="6">
        <v>4.8</v>
      </c>
    </row>
    <row r="319" spans="1:7" ht="15" customHeight="1">
      <c r="A319" s="37" t="s">
        <v>1311</v>
      </c>
      <c r="B319" s="37" t="s">
        <v>1310</v>
      </c>
      <c r="C319" s="6">
        <v>3</v>
      </c>
      <c r="D319" s="6">
        <v>2016</v>
      </c>
      <c r="E319" s="37" t="s">
        <v>1320</v>
      </c>
      <c r="F319" s="37" t="s">
        <v>1638</v>
      </c>
      <c r="G319" s="6">
        <v>4.3</v>
      </c>
    </row>
    <row r="320" spans="1:7" ht="15" customHeight="1">
      <c r="A320" s="37" t="s">
        <v>934</v>
      </c>
      <c r="B320" s="37" t="s">
        <v>933</v>
      </c>
      <c r="C320" s="6">
        <v>3</v>
      </c>
      <c r="D320" s="6">
        <v>2015</v>
      </c>
      <c r="E320" s="37" t="s">
        <v>1320</v>
      </c>
      <c r="F320" s="37" t="s">
        <v>1639</v>
      </c>
      <c r="G320" s="6">
        <v>8.1</v>
      </c>
    </row>
    <row r="321" spans="1:7" ht="15" customHeight="1">
      <c r="A321" s="37" t="s">
        <v>934</v>
      </c>
      <c r="B321" s="37" t="s">
        <v>933</v>
      </c>
      <c r="C321" s="6">
        <v>3</v>
      </c>
      <c r="D321" s="6">
        <v>2016</v>
      </c>
      <c r="E321" s="37" t="s">
        <v>1320</v>
      </c>
      <c r="F321" s="37" t="s">
        <v>1640</v>
      </c>
      <c r="G321" s="6">
        <v>7</v>
      </c>
    </row>
    <row r="322" spans="1:7" ht="15" customHeight="1">
      <c r="A322" s="37" t="s">
        <v>960</v>
      </c>
      <c r="B322" s="37" t="s">
        <v>959</v>
      </c>
      <c r="C322" s="6">
        <v>3</v>
      </c>
      <c r="D322" s="6">
        <v>2015</v>
      </c>
      <c r="E322" s="37" t="s">
        <v>1320</v>
      </c>
      <c r="F322" s="37" t="s">
        <v>1641</v>
      </c>
      <c r="G322" s="6">
        <v>8.8000000000000007</v>
      </c>
    </row>
    <row r="323" spans="1:7" ht="15" customHeight="1">
      <c r="A323" s="37" t="s">
        <v>960</v>
      </c>
      <c r="B323" s="37" t="s">
        <v>959</v>
      </c>
      <c r="C323" s="6">
        <v>3</v>
      </c>
      <c r="D323" s="6">
        <v>2016</v>
      </c>
      <c r="E323" s="37" t="s">
        <v>1320</v>
      </c>
      <c r="F323" s="37" t="s">
        <v>1642</v>
      </c>
      <c r="G323" s="6">
        <v>7.7</v>
      </c>
    </row>
    <row r="324" spans="1:7" ht="15" customHeight="1">
      <c r="A324" s="37" t="s">
        <v>968</v>
      </c>
      <c r="B324" s="37" t="s">
        <v>967</v>
      </c>
      <c r="C324" s="6">
        <v>3</v>
      </c>
      <c r="D324" s="6">
        <v>2015</v>
      </c>
      <c r="E324" s="37" t="s">
        <v>1320</v>
      </c>
      <c r="F324" s="37" t="s">
        <v>1643</v>
      </c>
      <c r="G324" s="6">
        <v>6.6</v>
      </c>
    </row>
    <row r="325" spans="1:7" ht="15" customHeight="1">
      <c r="A325" s="37" t="s">
        <v>968</v>
      </c>
      <c r="B325" s="37" t="s">
        <v>967</v>
      </c>
      <c r="C325" s="6">
        <v>3</v>
      </c>
      <c r="D325" s="6">
        <v>2016</v>
      </c>
      <c r="E325" s="37" t="s">
        <v>1320</v>
      </c>
      <c r="F325" s="37" t="s">
        <v>1644</v>
      </c>
      <c r="G325" s="6">
        <v>5.7</v>
      </c>
    </row>
    <row r="326" spans="1:7" ht="15" customHeight="1">
      <c r="A326" s="37" t="s">
        <v>1003</v>
      </c>
      <c r="B326" s="37" t="s">
        <v>1002</v>
      </c>
      <c r="C326" s="6">
        <v>3</v>
      </c>
      <c r="D326" s="6">
        <v>2015</v>
      </c>
      <c r="E326" s="37" t="s">
        <v>1320</v>
      </c>
      <c r="F326" s="37" t="s">
        <v>1645</v>
      </c>
      <c r="G326" s="6">
        <v>4.5999999999999996</v>
      </c>
    </row>
    <row r="327" spans="1:7" ht="15" customHeight="1">
      <c r="A327" s="37" t="s">
        <v>1003</v>
      </c>
      <c r="B327" s="37" t="s">
        <v>1002</v>
      </c>
      <c r="C327" s="6">
        <v>3</v>
      </c>
      <c r="D327" s="6">
        <v>2016</v>
      </c>
      <c r="E327" s="37" t="s">
        <v>1320</v>
      </c>
      <c r="F327" s="37" t="s">
        <v>1646</v>
      </c>
      <c r="G327" s="6">
        <v>4.2</v>
      </c>
    </row>
    <row r="328" spans="1:7" ht="15" customHeight="1">
      <c r="A328" s="37" t="s">
        <v>1011</v>
      </c>
      <c r="B328" s="37" t="s">
        <v>1010</v>
      </c>
      <c r="C328" s="6">
        <v>3</v>
      </c>
      <c r="D328" s="6">
        <v>2015</v>
      </c>
      <c r="E328" s="37" t="s">
        <v>1320</v>
      </c>
      <c r="F328" s="37" t="s">
        <v>1647</v>
      </c>
      <c r="G328" s="6">
        <v>7</v>
      </c>
    </row>
    <row r="329" spans="1:7" ht="15" customHeight="1">
      <c r="A329" s="37" t="s">
        <v>1011</v>
      </c>
      <c r="B329" s="37" t="s">
        <v>1010</v>
      </c>
      <c r="C329" s="6">
        <v>3</v>
      </c>
      <c r="D329" s="6">
        <v>2016</v>
      </c>
      <c r="E329" s="37" t="s">
        <v>1320</v>
      </c>
      <c r="F329" s="37" t="s">
        <v>1648</v>
      </c>
      <c r="G329" s="6">
        <v>6.4</v>
      </c>
    </row>
    <row r="330" spans="1:7" ht="15" customHeight="1">
      <c r="A330" s="37" t="s">
        <v>1069</v>
      </c>
      <c r="B330" s="37" t="s">
        <v>1068</v>
      </c>
      <c r="C330" s="6">
        <v>3</v>
      </c>
      <c r="D330" s="6">
        <v>2015</v>
      </c>
      <c r="E330" s="37" t="s">
        <v>1320</v>
      </c>
      <c r="F330" s="37" t="s">
        <v>1649</v>
      </c>
      <c r="G330" s="6">
        <v>10.6</v>
      </c>
    </row>
    <row r="331" spans="1:7" ht="15" customHeight="1">
      <c r="A331" s="37" t="s">
        <v>1069</v>
      </c>
      <c r="B331" s="37" t="s">
        <v>1068</v>
      </c>
      <c r="C331" s="6">
        <v>3</v>
      </c>
      <c r="D331" s="6">
        <v>2016</v>
      </c>
      <c r="E331" s="37" t="s">
        <v>1320</v>
      </c>
      <c r="F331" s="37" t="s">
        <v>1650</v>
      </c>
      <c r="G331" s="6">
        <v>9.4</v>
      </c>
    </row>
    <row r="332" spans="1:7" ht="15" customHeight="1">
      <c r="A332" s="37" t="s">
        <v>1109</v>
      </c>
      <c r="B332" s="37" t="s">
        <v>1108</v>
      </c>
      <c r="C332" s="6">
        <v>3</v>
      </c>
      <c r="D332" s="6">
        <v>2015</v>
      </c>
      <c r="E332" s="37" t="s">
        <v>1320</v>
      </c>
      <c r="F332" s="37" t="s">
        <v>1651</v>
      </c>
      <c r="G332" s="6">
        <v>7.2</v>
      </c>
    </row>
    <row r="333" spans="1:7" ht="15" customHeight="1">
      <c r="A333" s="37" t="s">
        <v>1109</v>
      </c>
      <c r="B333" s="37" t="s">
        <v>1108</v>
      </c>
      <c r="C333" s="6">
        <v>3</v>
      </c>
      <c r="D333" s="6">
        <v>2016</v>
      </c>
      <c r="E333" s="37" t="s">
        <v>1320</v>
      </c>
      <c r="F333" s="37" t="s">
        <v>1652</v>
      </c>
      <c r="G333" s="6">
        <v>6.2</v>
      </c>
    </row>
    <row r="334" spans="1:7" ht="15" customHeight="1">
      <c r="A334" s="37" t="s">
        <v>1117</v>
      </c>
      <c r="B334" s="37" t="s">
        <v>1116</v>
      </c>
      <c r="C334" s="6">
        <v>3</v>
      </c>
      <c r="D334" s="6">
        <v>2015</v>
      </c>
      <c r="E334" s="37" t="s">
        <v>1320</v>
      </c>
      <c r="F334" s="37" t="s">
        <v>1653</v>
      </c>
      <c r="G334" s="6">
        <v>5.7</v>
      </c>
    </row>
    <row r="335" spans="1:7" ht="15" customHeight="1">
      <c r="A335" s="37" t="s">
        <v>1117</v>
      </c>
      <c r="B335" s="37" t="s">
        <v>1116</v>
      </c>
      <c r="C335" s="6">
        <v>3</v>
      </c>
      <c r="D335" s="6">
        <v>2016</v>
      </c>
      <c r="E335" s="37" t="s">
        <v>1320</v>
      </c>
      <c r="F335" s="37" t="s">
        <v>1654</v>
      </c>
      <c r="G335" s="6">
        <v>5.0999999999999996</v>
      </c>
    </row>
    <row r="336" spans="1:7" ht="15" customHeight="1">
      <c r="A336" s="37" t="s">
        <v>1119</v>
      </c>
      <c r="B336" s="37" t="s">
        <v>1118</v>
      </c>
      <c r="C336" s="6">
        <v>3</v>
      </c>
      <c r="D336" s="6">
        <v>2015</v>
      </c>
      <c r="E336" s="37" t="s">
        <v>1320</v>
      </c>
      <c r="F336" s="37" t="s">
        <v>1655</v>
      </c>
      <c r="G336" s="6">
        <v>5</v>
      </c>
    </row>
    <row r="337" spans="1:7" ht="15" customHeight="1">
      <c r="A337" s="37" t="s">
        <v>1119</v>
      </c>
      <c r="B337" s="37" t="s">
        <v>1118</v>
      </c>
      <c r="C337" s="6">
        <v>3</v>
      </c>
      <c r="D337" s="6">
        <v>2016</v>
      </c>
      <c r="E337" s="37" t="s">
        <v>1320</v>
      </c>
      <c r="F337" s="37" t="s">
        <v>1656</v>
      </c>
      <c r="G337" s="6">
        <v>4.5</v>
      </c>
    </row>
    <row r="338" spans="1:7" ht="15" customHeight="1">
      <c r="A338" s="37" t="s">
        <v>1127</v>
      </c>
      <c r="B338" s="37" t="s">
        <v>1126</v>
      </c>
      <c r="C338" s="6">
        <v>3</v>
      </c>
      <c r="D338" s="6">
        <v>2015</v>
      </c>
      <c r="E338" s="37" t="s">
        <v>1320</v>
      </c>
      <c r="F338" s="37" t="s">
        <v>1657</v>
      </c>
      <c r="G338" s="6">
        <v>6.6</v>
      </c>
    </row>
    <row r="339" spans="1:7" ht="15" customHeight="1">
      <c r="A339" s="37" t="s">
        <v>1127</v>
      </c>
      <c r="B339" s="37" t="s">
        <v>1126</v>
      </c>
      <c r="C339" s="6">
        <v>3</v>
      </c>
      <c r="D339" s="6">
        <v>2016</v>
      </c>
      <c r="E339" s="37" t="s">
        <v>1320</v>
      </c>
      <c r="F339" s="37" t="s">
        <v>1658</v>
      </c>
      <c r="G339" s="6">
        <v>5.8</v>
      </c>
    </row>
    <row r="340" spans="1:7" ht="15" customHeight="1">
      <c r="A340" s="37" t="s">
        <v>1129</v>
      </c>
      <c r="B340" s="37" t="s">
        <v>1128</v>
      </c>
      <c r="C340" s="6">
        <v>3</v>
      </c>
      <c r="D340" s="6">
        <v>2015</v>
      </c>
      <c r="E340" s="37" t="s">
        <v>1320</v>
      </c>
      <c r="F340" s="37" t="s">
        <v>1659</v>
      </c>
      <c r="G340" s="6">
        <v>8.1999999999999993</v>
      </c>
    </row>
    <row r="341" spans="1:7" ht="15" customHeight="1">
      <c r="A341" s="37" t="s">
        <v>1129</v>
      </c>
      <c r="B341" s="37" t="s">
        <v>1128</v>
      </c>
      <c r="C341" s="6">
        <v>3</v>
      </c>
      <c r="D341" s="6">
        <v>2016</v>
      </c>
      <c r="E341" s="37" t="s">
        <v>1320</v>
      </c>
      <c r="F341" s="37" t="s">
        <v>1660</v>
      </c>
      <c r="G341" s="6">
        <v>7.2</v>
      </c>
    </row>
    <row r="342" spans="1:7" ht="15" customHeight="1">
      <c r="A342" s="37" t="s">
        <v>1137</v>
      </c>
      <c r="B342" s="37" t="s">
        <v>1136</v>
      </c>
      <c r="C342" s="6">
        <v>3</v>
      </c>
      <c r="D342" s="6">
        <v>2015</v>
      </c>
      <c r="E342" s="37" t="s">
        <v>1320</v>
      </c>
      <c r="F342" s="37" t="s">
        <v>1661</v>
      </c>
      <c r="G342" s="6">
        <v>7.6</v>
      </c>
    </row>
    <row r="343" spans="1:7" ht="15" customHeight="1">
      <c r="A343" s="37" t="s">
        <v>1137</v>
      </c>
      <c r="B343" s="37" t="s">
        <v>1136</v>
      </c>
      <c r="C343" s="6">
        <v>3</v>
      </c>
      <c r="D343" s="6">
        <v>2016</v>
      </c>
      <c r="E343" s="37" t="s">
        <v>1320</v>
      </c>
      <c r="F343" s="37" t="s">
        <v>1662</v>
      </c>
      <c r="G343" s="6">
        <v>6.6</v>
      </c>
    </row>
    <row r="344" spans="1:7" ht="15" customHeight="1">
      <c r="A344" s="37" t="s">
        <v>1143</v>
      </c>
      <c r="B344" s="37" t="s">
        <v>1142</v>
      </c>
      <c r="C344" s="6">
        <v>3</v>
      </c>
      <c r="D344" s="6">
        <v>2015</v>
      </c>
      <c r="E344" s="37" t="s">
        <v>1320</v>
      </c>
      <c r="F344" s="37" t="s">
        <v>1663</v>
      </c>
      <c r="G344" s="6">
        <v>8.4</v>
      </c>
    </row>
    <row r="345" spans="1:7" ht="15" customHeight="1">
      <c r="A345" s="37" t="s">
        <v>1143</v>
      </c>
      <c r="B345" s="37" t="s">
        <v>1142</v>
      </c>
      <c r="C345" s="6">
        <v>3</v>
      </c>
      <c r="D345" s="6">
        <v>2016</v>
      </c>
      <c r="E345" s="37" t="s">
        <v>1320</v>
      </c>
      <c r="F345" s="37" t="s">
        <v>1664</v>
      </c>
      <c r="G345" s="6">
        <v>7.2</v>
      </c>
    </row>
    <row r="346" spans="1:7" ht="15" customHeight="1">
      <c r="A346" s="37" t="s">
        <v>1163</v>
      </c>
      <c r="B346" s="37" t="s">
        <v>1162</v>
      </c>
      <c r="C346" s="6">
        <v>3</v>
      </c>
      <c r="D346" s="6">
        <v>2015</v>
      </c>
      <c r="E346" s="37" t="s">
        <v>1320</v>
      </c>
      <c r="F346" s="37" t="s">
        <v>1665</v>
      </c>
      <c r="G346" s="6">
        <v>4.9000000000000004</v>
      </c>
    </row>
    <row r="347" spans="1:7" ht="15" customHeight="1">
      <c r="A347" s="37" t="s">
        <v>1163</v>
      </c>
      <c r="B347" s="37" t="s">
        <v>1162</v>
      </c>
      <c r="C347" s="6">
        <v>3</v>
      </c>
      <c r="D347" s="6">
        <v>2016</v>
      </c>
      <c r="E347" s="37" t="s">
        <v>1320</v>
      </c>
      <c r="F347" s="37" t="s">
        <v>1666</v>
      </c>
      <c r="G347" s="6">
        <v>4.4000000000000004</v>
      </c>
    </row>
    <row r="348" spans="1:7" ht="15" customHeight="1">
      <c r="A348" s="37" t="s">
        <v>1165</v>
      </c>
      <c r="B348" s="37" t="s">
        <v>1164</v>
      </c>
      <c r="C348" s="6">
        <v>3</v>
      </c>
      <c r="D348" s="6">
        <v>2015</v>
      </c>
      <c r="E348" s="37" t="s">
        <v>1320</v>
      </c>
      <c r="F348" s="37" t="s">
        <v>1667</v>
      </c>
      <c r="G348" s="6">
        <v>7.3</v>
      </c>
    </row>
    <row r="349" spans="1:7" ht="15" customHeight="1">
      <c r="A349" s="37" t="s">
        <v>1165</v>
      </c>
      <c r="B349" s="37" t="s">
        <v>1164</v>
      </c>
      <c r="C349" s="6">
        <v>3</v>
      </c>
      <c r="D349" s="6">
        <v>2016</v>
      </c>
      <c r="E349" s="37" t="s">
        <v>1320</v>
      </c>
      <c r="F349" s="37" t="s">
        <v>1668</v>
      </c>
      <c r="G349" s="6">
        <v>6.1</v>
      </c>
    </row>
    <row r="350" spans="1:7" ht="15" customHeight="1">
      <c r="A350" s="37" t="s">
        <v>1213</v>
      </c>
      <c r="B350" s="37" t="s">
        <v>1212</v>
      </c>
      <c r="C350" s="6">
        <v>3</v>
      </c>
      <c r="D350" s="6">
        <v>2015</v>
      </c>
      <c r="E350" s="37" t="s">
        <v>1320</v>
      </c>
      <c r="F350" s="37" t="s">
        <v>1669</v>
      </c>
      <c r="G350" s="6">
        <v>5.5</v>
      </c>
    </row>
    <row r="351" spans="1:7" ht="15" customHeight="1">
      <c r="A351" s="37" t="s">
        <v>1213</v>
      </c>
      <c r="B351" s="37" t="s">
        <v>1212</v>
      </c>
      <c r="C351" s="6">
        <v>3</v>
      </c>
      <c r="D351" s="6">
        <v>2016</v>
      </c>
      <c r="E351" s="37" t="s">
        <v>1320</v>
      </c>
      <c r="F351" s="37" t="s">
        <v>1670</v>
      </c>
      <c r="G351" s="6">
        <v>4.9000000000000004</v>
      </c>
    </row>
    <row r="352" spans="1:7" ht="15" customHeight="1">
      <c r="A352" s="37" t="s">
        <v>1235</v>
      </c>
      <c r="B352" s="37" t="s">
        <v>1234</v>
      </c>
      <c r="C352" s="6">
        <v>3</v>
      </c>
      <c r="D352" s="6">
        <v>2015</v>
      </c>
      <c r="E352" s="37" t="s">
        <v>1320</v>
      </c>
      <c r="F352" s="37" t="s">
        <v>1671</v>
      </c>
      <c r="G352" s="6">
        <v>4.7</v>
      </c>
    </row>
    <row r="353" spans="1:7" ht="15" customHeight="1">
      <c r="A353" s="37" t="s">
        <v>1235</v>
      </c>
      <c r="B353" s="37" t="s">
        <v>1234</v>
      </c>
      <c r="C353" s="6">
        <v>3</v>
      </c>
      <c r="D353" s="6">
        <v>2016</v>
      </c>
      <c r="E353" s="37" t="s">
        <v>1320</v>
      </c>
      <c r="F353" s="37" t="s">
        <v>1672</v>
      </c>
      <c r="G353" s="6">
        <v>4.2</v>
      </c>
    </row>
    <row r="354" spans="1:7" ht="15" customHeight="1">
      <c r="A354" s="37" t="s">
        <v>1253</v>
      </c>
      <c r="B354" s="37" t="s">
        <v>1252</v>
      </c>
      <c r="C354" s="6">
        <v>3</v>
      </c>
      <c r="D354" s="6">
        <v>2015</v>
      </c>
      <c r="E354" s="37" t="s">
        <v>1320</v>
      </c>
      <c r="F354" s="37" t="s">
        <v>1673</v>
      </c>
      <c r="G354" s="6">
        <v>6.3</v>
      </c>
    </row>
    <row r="355" spans="1:7" ht="15" customHeight="1">
      <c r="A355" s="37" t="s">
        <v>1253</v>
      </c>
      <c r="B355" s="37" t="s">
        <v>1252</v>
      </c>
      <c r="C355" s="6">
        <v>3</v>
      </c>
      <c r="D355" s="6">
        <v>2016</v>
      </c>
      <c r="E355" s="37" t="s">
        <v>1320</v>
      </c>
      <c r="F355" s="37" t="s">
        <v>1674</v>
      </c>
      <c r="G355" s="6">
        <v>5.9</v>
      </c>
    </row>
    <row r="356" spans="1:7" ht="15" customHeight="1">
      <c r="A356" s="37" t="s">
        <v>1271</v>
      </c>
      <c r="B356" s="37" t="s">
        <v>1270</v>
      </c>
      <c r="C356" s="6">
        <v>3</v>
      </c>
      <c r="D356" s="6">
        <v>2015</v>
      </c>
      <c r="E356" s="37" t="s">
        <v>1320</v>
      </c>
      <c r="F356" s="37" t="s">
        <v>1675</v>
      </c>
      <c r="G356" s="6">
        <v>9.4</v>
      </c>
    </row>
    <row r="357" spans="1:7" ht="15" customHeight="1">
      <c r="A357" s="37" t="s">
        <v>1271</v>
      </c>
      <c r="B357" s="37" t="s">
        <v>1270</v>
      </c>
      <c r="C357" s="6">
        <v>3</v>
      </c>
      <c r="D357" s="6">
        <v>2016</v>
      </c>
      <c r="E357" s="37" t="s">
        <v>1320</v>
      </c>
      <c r="F357" s="37" t="s">
        <v>1676</v>
      </c>
      <c r="G357" s="6">
        <v>8.1</v>
      </c>
    </row>
    <row r="358" spans="1:7" ht="15" customHeight="1">
      <c r="A358" s="37" t="s">
        <v>1281</v>
      </c>
      <c r="B358" s="37" t="s">
        <v>1280</v>
      </c>
      <c r="C358" s="6">
        <v>3</v>
      </c>
      <c r="D358" s="6">
        <v>2015</v>
      </c>
      <c r="E358" s="37" t="s">
        <v>1320</v>
      </c>
      <c r="F358" s="37" t="s">
        <v>1677</v>
      </c>
      <c r="G358" s="6">
        <v>6.9</v>
      </c>
    </row>
    <row r="359" spans="1:7" ht="15" customHeight="1">
      <c r="A359" s="37" t="s">
        <v>1281</v>
      </c>
      <c r="B359" s="37" t="s">
        <v>1280</v>
      </c>
      <c r="C359" s="6">
        <v>3</v>
      </c>
      <c r="D359" s="6">
        <v>2016</v>
      </c>
      <c r="E359" s="37" t="s">
        <v>1320</v>
      </c>
      <c r="F359" s="37" t="s">
        <v>1678</v>
      </c>
      <c r="G359" s="6">
        <v>6</v>
      </c>
    </row>
    <row r="360" spans="1:7" ht="15" customHeight="1">
      <c r="A360" s="37" t="s">
        <v>1169</v>
      </c>
      <c r="B360" s="37" t="s">
        <v>1168</v>
      </c>
      <c r="C360" s="6">
        <v>3</v>
      </c>
      <c r="D360" s="6">
        <v>2015</v>
      </c>
      <c r="E360" s="37" t="s">
        <v>1320</v>
      </c>
      <c r="F360" s="37" t="s">
        <v>1679</v>
      </c>
      <c r="G360" s="6">
        <v>6</v>
      </c>
    </row>
    <row r="361" spans="1:7" ht="15" customHeight="1">
      <c r="A361" s="37" t="s">
        <v>1169</v>
      </c>
      <c r="B361" s="37" t="s">
        <v>1168</v>
      </c>
      <c r="C361" s="6">
        <v>3</v>
      </c>
      <c r="D361" s="6">
        <v>2016</v>
      </c>
      <c r="E361" s="37" t="s">
        <v>1320</v>
      </c>
      <c r="F361" s="37" t="s">
        <v>1680</v>
      </c>
      <c r="G361" s="6">
        <v>5.0999999999999996</v>
      </c>
    </row>
    <row r="362" spans="1:7" ht="15" customHeight="1">
      <c r="A362" s="37" t="s">
        <v>1229</v>
      </c>
      <c r="B362" s="37" t="s">
        <v>1228</v>
      </c>
      <c r="C362" s="6">
        <v>3</v>
      </c>
      <c r="D362" s="6">
        <v>2015</v>
      </c>
      <c r="E362" s="37" t="s">
        <v>1320</v>
      </c>
      <c r="F362" s="37" t="s">
        <v>1681</v>
      </c>
      <c r="G362" s="6">
        <v>5.3</v>
      </c>
    </row>
    <row r="363" spans="1:7" ht="15" customHeight="1">
      <c r="A363" s="37" t="s">
        <v>1229</v>
      </c>
      <c r="B363" s="37" t="s">
        <v>1228</v>
      </c>
      <c r="C363" s="6">
        <v>3</v>
      </c>
      <c r="D363" s="6">
        <v>2016</v>
      </c>
      <c r="E363" s="37" t="s">
        <v>1320</v>
      </c>
      <c r="F363" s="37" t="s">
        <v>1682</v>
      </c>
      <c r="G363" s="6">
        <v>5.0999999999999996</v>
      </c>
    </row>
    <row r="364" spans="1:7" ht="15" customHeight="1">
      <c r="A364" s="37" t="s">
        <v>1313</v>
      </c>
      <c r="B364" s="37" t="s">
        <v>1312</v>
      </c>
      <c r="C364" s="6">
        <v>3</v>
      </c>
      <c r="D364" s="6">
        <v>2015</v>
      </c>
      <c r="E364" s="37" t="s">
        <v>1320</v>
      </c>
      <c r="F364" s="37" t="s">
        <v>1683</v>
      </c>
      <c r="G364" s="6">
        <v>6.3</v>
      </c>
    </row>
    <row r="365" spans="1:7" ht="15" customHeight="1">
      <c r="A365" s="37" t="s">
        <v>1313</v>
      </c>
      <c r="B365" s="37" t="s">
        <v>1312</v>
      </c>
      <c r="C365" s="6">
        <v>3</v>
      </c>
      <c r="D365" s="6">
        <v>2016</v>
      </c>
      <c r="E365" s="37" t="s">
        <v>1320</v>
      </c>
      <c r="F365" s="37" t="s">
        <v>1684</v>
      </c>
      <c r="G365" s="6">
        <v>5.4</v>
      </c>
    </row>
    <row r="366" spans="1:7" ht="15" customHeight="1">
      <c r="A366" s="37" t="s">
        <v>1255</v>
      </c>
      <c r="B366" s="37" t="s">
        <v>1254</v>
      </c>
      <c r="C366" s="6">
        <v>3</v>
      </c>
      <c r="D366" s="6">
        <v>2015</v>
      </c>
      <c r="E366" s="37" t="s">
        <v>1320</v>
      </c>
      <c r="F366" s="37" t="s">
        <v>1685</v>
      </c>
      <c r="G366" s="6">
        <v>6.1</v>
      </c>
    </row>
    <row r="367" spans="1:7" ht="15" customHeight="1">
      <c r="A367" s="37" t="s">
        <v>1255</v>
      </c>
      <c r="B367" s="37" t="s">
        <v>1254</v>
      </c>
      <c r="C367" s="6">
        <v>3</v>
      </c>
      <c r="D367" s="6">
        <v>2016</v>
      </c>
      <c r="E367" s="37" t="s">
        <v>1320</v>
      </c>
      <c r="F367" s="37" t="s">
        <v>1686</v>
      </c>
      <c r="G367" s="6">
        <v>5.7</v>
      </c>
    </row>
    <row r="368" spans="1:7" ht="15" customHeight="1">
      <c r="A368" s="37" t="s">
        <v>964</v>
      </c>
      <c r="B368" s="37" t="s">
        <v>963</v>
      </c>
      <c r="C368" s="6">
        <v>3</v>
      </c>
      <c r="D368" s="6">
        <v>2015</v>
      </c>
      <c r="E368" s="37" t="s">
        <v>1320</v>
      </c>
      <c r="F368" s="37" t="s">
        <v>1687</v>
      </c>
      <c r="G368" s="6">
        <v>5.6</v>
      </c>
    </row>
    <row r="369" spans="1:7" ht="15" customHeight="1">
      <c r="A369" s="37" t="s">
        <v>964</v>
      </c>
      <c r="B369" s="37" t="s">
        <v>963</v>
      </c>
      <c r="C369" s="6">
        <v>3</v>
      </c>
      <c r="D369" s="6">
        <v>2016</v>
      </c>
      <c r="E369" s="37" t="s">
        <v>1320</v>
      </c>
      <c r="F369" s="37" t="s">
        <v>1688</v>
      </c>
      <c r="G369" s="6">
        <v>5</v>
      </c>
    </row>
    <row r="370" spans="1:7" ht="15" customHeight="1">
      <c r="A370" s="37" t="s">
        <v>1005</v>
      </c>
      <c r="B370" s="37" t="s">
        <v>1004</v>
      </c>
      <c r="C370" s="6">
        <v>3</v>
      </c>
      <c r="D370" s="6">
        <v>2015</v>
      </c>
      <c r="E370" s="37" t="s">
        <v>1320</v>
      </c>
      <c r="F370" s="37" t="s">
        <v>1689</v>
      </c>
      <c r="G370" s="6">
        <v>4.5999999999999996</v>
      </c>
    </row>
    <row r="371" spans="1:7" ht="15" customHeight="1">
      <c r="A371" s="37" t="s">
        <v>1005</v>
      </c>
      <c r="B371" s="37" t="s">
        <v>1004</v>
      </c>
      <c r="C371" s="6">
        <v>3</v>
      </c>
      <c r="D371" s="6">
        <v>2016</v>
      </c>
      <c r="E371" s="37" t="s">
        <v>1320</v>
      </c>
      <c r="F371" s="37" t="s">
        <v>1690</v>
      </c>
      <c r="G371" s="6">
        <v>4.2</v>
      </c>
    </row>
    <row r="372" spans="1:7" ht="15" customHeight="1">
      <c r="A372" s="37" t="s">
        <v>1073</v>
      </c>
      <c r="B372" s="37" t="s">
        <v>1072</v>
      </c>
      <c r="C372" s="6">
        <v>3</v>
      </c>
      <c r="D372" s="6">
        <v>2015</v>
      </c>
      <c r="E372" s="37" t="s">
        <v>1320</v>
      </c>
      <c r="F372" s="37" t="s">
        <v>1691</v>
      </c>
      <c r="G372" s="6">
        <v>5.7</v>
      </c>
    </row>
    <row r="373" spans="1:7" ht="15" customHeight="1">
      <c r="A373" s="37" t="s">
        <v>1073</v>
      </c>
      <c r="B373" s="37" t="s">
        <v>1072</v>
      </c>
      <c r="C373" s="6">
        <v>3</v>
      </c>
      <c r="D373" s="6">
        <v>2016</v>
      </c>
      <c r="E373" s="37" t="s">
        <v>1320</v>
      </c>
      <c r="F373" s="37" t="s">
        <v>1692</v>
      </c>
      <c r="G373" s="6">
        <v>5.0999999999999996</v>
      </c>
    </row>
    <row r="374" spans="1:7" ht="15" customHeight="1">
      <c r="A374" s="37" t="s">
        <v>1141</v>
      </c>
      <c r="B374" s="37" t="s">
        <v>1140</v>
      </c>
      <c r="C374" s="6">
        <v>3</v>
      </c>
      <c r="D374" s="6">
        <v>2015</v>
      </c>
      <c r="E374" s="37" t="s">
        <v>1320</v>
      </c>
      <c r="F374" s="37" t="s">
        <v>1693</v>
      </c>
      <c r="G374" s="6">
        <v>5.8</v>
      </c>
    </row>
    <row r="375" spans="1:7" ht="15" customHeight="1">
      <c r="A375" s="37" t="s">
        <v>1141</v>
      </c>
      <c r="B375" s="37" t="s">
        <v>1140</v>
      </c>
      <c r="C375" s="6">
        <v>3</v>
      </c>
      <c r="D375" s="6">
        <v>2016</v>
      </c>
      <c r="E375" s="37" t="s">
        <v>1320</v>
      </c>
      <c r="F375" s="37" t="s">
        <v>1694</v>
      </c>
      <c r="G375" s="6">
        <v>5.0999999999999996</v>
      </c>
    </row>
    <row r="376" spans="1:7" ht="15" customHeight="1">
      <c r="A376" s="37" t="s">
        <v>1167</v>
      </c>
      <c r="B376" s="37" t="s">
        <v>1166</v>
      </c>
      <c r="C376" s="6">
        <v>3</v>
      </c>
      <c r="D376" s="6">
        <v>2015</v>
      </c>
      <c r="E376" s="37" t="s">
        <v>1320</v>
      </c>
      <c r="F376" s="37" t="s">
        <v>1695</v>
      </c>
      <c r="G376" s="6">
        <v>6.1</v>
      </c>
    </row>
    <row r="377" spans="1:7" ht="15" customHeight="1">
      <c r="A377" s="37" t="s">
        <v>1167</v>
      </c>
      <c r="B377" s="37" t="s">
        <v>1166</v>
      </c>
      <c r="C377" s="6">
        <v>3</v>
      </c>
      <c r="D377" s="6">
        <v>2016</v>
      </c>
      <c r="E377" s="37" t="s">
        <v>1320</v>
      </c>
      <c r="F377" s="37" t="s">
        <v>1696</v>
      </c>
      <c r="G377" s="6">
        <v>5.2</v>
      </c>
    </row>
    <row r="378" spans="1:7" ht="15" customHeight="1">
      <c r="A378" s="37" t="s">
        <v>1273</v>
      </c>
      <c r="B378" s="37" t="s">
        <v>1272</v>
      </c>
      <c r="C378" s="6">
        <v>3</v>
      </c>
      <c r="D378" s="6">
        <v>2015</v>
      </c>
      <c r="E378" s="37" t="s">
        <v>1320</v>
      </c>
      <c r="F378" s="37" t="s">
        <v>1697</v>
      </c>
      <c r="G378" s="6">
        <v>7.2</v>
      </c>
    </row>
    <row r="379" spans="1:7" ht="15" customHeight="1">
      <c r="A379" s="37" t="s">
        <v>1273</v>
      </c>
      <c r="B379" s="37" t="s">
        <v>1272</v>
      </c>
      <c r="C379" s="6">
        <v>3</v>
      </c>
      <c r="D379" s="6">
        <v>2016</v>
      </c>
      <c r="E379" s="37" t="s">
        <v>1320</v>
      </c>
      <c r="F379" s="37" t="s">
        <v>1698</v>
      </c>
      <c r="G379" s="6">
        <v>6.2</v>
      </c>
    </row>
    <row r="380" spans="1:7" ht="15" customHeight="1">
      <c r="A380" s="37" t="s">
        <v>1067</v>
      </c>
      <c r="B380" s="37" t="s">
        <v>1066</v>
      </c>
      <c r="C380" s="6">
        <v>3</v>
      </c>
      <c r="D380" s="6">
        <v>2015</v>
      </c>
      <c r="E380" s="37" t="s">
        <v>1320</v>
      </c>
      <c r="F380" s="37" t="s">
        <v>1699</v>
      </c>
      <c r="G380" s="6">
        <v>4.5999999999999996</v>
      </c>
    </row>
    <row r="381" spans="1:7" ht="15" customHeight="1">
      <c r="A381" s="37" t="s">
        <v>1067</v>
      </c>
      <c r="B381" s="37" t="s">
        <v>1066</v>
      </c>
      <c r="C381" s="6">
        <v>3</v>
      </c>
      <c r="D381" s="6">
        <v>2016</v>
      </c>
      <c r="E381" s="37" t="s">
        <v>1320</v>
      </c>
      <c r="F381" s="37" t="s">
        <v>1700</v>
      </c>
      <c r="G381" s="6">
        <v>4.3</v>
      </c>
    </row>
    <row r="382" spans="1:7" ht="15" customHeight="1">
      <c r="A382" s="37" t="s">
        <v>1097</v>
      </c>
      <c r="B382" s="37" t="s">
        <v>1096</v>
      </c>
      <c r="C382" s="6">
        <v>3</v>
      </c>
      <c r="D382" s="6">
        <v>2015</v>
      </c>
      <c r="E382" s="37" t="s">
        <v>1320</v>
      </c>
      <c r="F382" s="37" t="s">
        <v>1701</v>
      </c>
      <c r="G382" s="6">
        <v>4.0999999999999996</v>
      </c>
    </row>
    <row r="383" spans="1:7" ht="15" customHeight="1">
      <c r="A383" s="37" t="s">
        <v>1097</v>
      </c>
      <c r="B383" s="37" t="s">
        <v>1096</v>
      </c>
      <c r="C383" s="6">
        <v>3</v>
      </c>
      <c r="D383" s="6">
        <v>2016</v>
      </c>
      <c r="E383" s="37" t="s">
        <v>1320</v>
      </c>
      <c r="F383" s="37" t="s">
        <v>1702</v>
      </c>
      <c r="G383" s="6">
        <v>3.7</v>
      </c>
    </row>
    <row r="384" spans="1:7" ht="15" customHeight="1">
      <c r="A384" s="37" t="s">
        <v>995</v>
      </c>
      <c r="B384" s="37" t="s">
        <v>252</v>
      </c>
      <c r="C384" s="6">
        <v>3</v>
      </c>
      <c r="D384" s="6">
        <v>2015</v>
      </c>
      <c r="E384" s="37" t="s">
        <v>1320</v>
      </c>
      <c r="F384" s="37" t="s">
        <v>1703</v>
      </c>
      <c r="G384" s="6">
        <v>5.7</v>
      </c>
    </row>
    <row r="385" spans="1:7" ht="15" customHeight="1">
      <c r="A385" s="37" t="s">
        <v>995</v>
      </c>
      <c r="B385" s="37" t="s">
        <v>252</v>
      </c>
      <c r="C385" s="6">
        <v>3</v>
      </c>
      <c r="D385" s="6">
        <v>2016</v>
      </c>
      <c r="E385" s="37" t="s">
        <v>1320</v>
      </c>
      <c r="F385" s="37" t="s">
        <v>1704</v>
      </c>
      <c r="G385" s="6">
        <v>5.0999999999999996</v>
      </c>
    </row>
  </sheetData>
  <pageMargins left="0.7" right="0.7" top="0.75" bottom="0.75" header="0.3" footer="0.3"/>
  <pageSetup orientation="portrait"/>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Scores Sorted</vt:lpstr>
      <vt:lpstr>Output</vt:lpstr>
      <vt:lpstr>Sheet 1</vt:lpstr>
      <vt:lpstr>Data Elements</vt:lpstr>
      <vt:lpstr>Zillow</vt:lpstr>
      <vt:lpstr>Counties</vt:lpstr>
      <vt:lpstr>BEA Pivot</vt:lpstr>
      <vt:lpstr>Unemployment</vt:lpstr>
      <vt:lpstr>BEA Raw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2018-08-03T16:48:32Z</dcterms:modified>
</cp:coreProperties>
</file>