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nu.com\Data\DepartmentData\UG-Rates &amp; Reg\REVREQ\RETAIL\CL&amp;P Reconciliation - Dkt 20-03-01 (Year 2019)\RAM Filing Copies\"/>
    </mc:Choice>
  </mc:AlternateContent>
  <xr:revisionPtr revIDLastSave="0" documentId="13_ncr:1_{9B7CC43E-5161-4E78-8D83-B03F7BFF1FE8}" xr6:coauthVersionLast="41" xr6:coauthVersionMax="41" xr10:uidLastSave="{00000000-0000-0000-0000-000000000000}"/>
  <bookViews>
    <workbookView xWindow="-120" yWindow="-120" windowWidth="29040" windowHeight="15840" tabRatio="814" xr2:uid="{00000000-000D-0000-FFFF-FFFF00000000}"/>
  </bookViews>
  <sheets>
    <sheet name="TOC" sheetId="31" r:id="rId1"/>
    <sheet name="Exh 5, Pg. 1" sheetId="12" r:id="rId2"/>
    <sheet name="Exh 5, Pg. 2" sheetId="38" r:id="rId3"/>
    <sheet name="Exh 5, Pg. 3" sheetId="9" r:id="rId4"/>
    <sheet name="Exh 5, Pg. 4" sheetId="32" r:id="rId5"/>
    <sheet name="Exh 5A, Pg. 1" sheetId="35" r:id="rId6"/>
    <sheet name="Exh 5A, Pg. 2" sheetId="3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>#N/A</definedName>
    <definedName name="\I">#N/A</definedName>
    <definedName name="\K">#N/A</definedName>
    <definedName name="\L">#N/A</definedName>
    <definedName name="\M">#N/A</definedName>
    <definedName name="\N">#N/A</definedName>
    <definedName name="\R">#N/A</definedName>
    <definedName name="\S">#N/A</definedName>
    <definedName name="\W">#N/A</definedName>
    <definedName name="\X">#N/A</definedName>
    <definedName name="\Y">#N/A</definedName>
    <definedName name="\Z">#N/A</definedName>
    <definedName name="__123Graph_A" hidden="1">[1]Annual!$O$12:$O$18</definedName>
    <definedName name="__123Graph_B" hidden="1">[1]Annual!$O$46:$O$52</definedName>
    <definedName name="__123Graph_D" hidden="1">[1]Annual!$O$80:$O$86</definedName>
    <definedName name="__123Graph_X" hidden="1">[1]Annual!$C$80:$C$86</definedName>
    <definedName name="_C93">#N/A</definedName>
    <definedName name="_C94">#N/A</definedName>
    <definedName name="_C95">#N/A</definedName>
    <definedName name="_C96">#N/A</definedName>
    <definedName name="_CCR4">[2]B!$M$730</definedName>
    <definedName name="_CCR5">[2]B!$M$800</definedName>
    <definedName name="_CCT2">[2]B!$L$501</definedName>
    <definedName name="_CCT4">[2]B!$K$977</definedName>
    <definedName name="_COM93">#N/A</definedName>
    <definedName name="_COM94">#N/A</definedName>
    <definedName name="_COM95">#N/A</definedName>
    <definedName name="_COM96">#N/A</definedName>
    <definedName name="_Fill" hidden="1">#REF!</definedName>
    <definedName name="_IND93">#N/A</definedName>
    <definedName name="_IND94">#N/A</definedName>
    <definedName name="_IND95">#N/A</definedName>
    <definedName name="_IND96">#N/A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S93">#N/A</definedName>
    <definedName name="_RES94">#N/A</definedName>
    <definedName name="_RES95">#N/A</definedName>
    <definedName name="_RES96">#N/A</definedName>
    <definedName name="_SRR93">#N/A</definedName>
    <definedName name="_SRR94">#N/A</definedName>
    <definedName name="_SRR95">#N/A</definedName>
    <definedName name="_SRR96">#N/A</definedName>
    <definedName name="a">[3]Summary!$B$1</definedName>
    <definedName name="abr">#REF!</definedName>
    <definedName name="abr_combined">#REF!</definedName>
    <definedName name="abr_jan1_jan12">#REF!</definedName>
    <definedName name="abr_jan1_mar3">#REF!</definedName>
    <definedName name="abr_jan13_mar3">#REF!</definedName>
    <definedName name="abr_mar4_dec31">#REF!</definedName>
    <definedName name="ad">[4]Summary!$B$1</definedName>
    <definedName name="add">[4]Summary!$B$1</definedName>
    <definedName name="agree_type">[5]bill_tables!$A$32:$B$37</definedName>
    <definedName name="b">[3]Summary!$B$1</definedName>
    <definedName name="CALLOC">#N/A</definedName>
    <definedName name="CBREV">#N/A</definedName>
    <definedName name="CBREV1">#N/A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FREV">#N/A</definedName>
    <definedName name="CGREV">#N/A</definedName>
    <definedName name="CLPDISC">#REF!</definedName>
    <definedName name="CLPECD">#REF!</definedName>
    <definedName name="CLPINC">#REF!</definedName>
    <definedName name="COMC">#N/A</definedName>
    <definedName name="COMMOD">#REF!</definedName>
    <definedName name="contract_table">[5]bill_tables!$A$12:$L$26</definedName>
    <definedName name="cost_of_capital">#REF!</definedName>
    <definedName name="CSAL">#N/A</definedName>
    <definedName name="CTREV">#N/A</definedName>
    <definedName name="CustG0Actual">#REF!</definedName>
    <definedName name="CustR1Actual">#REF!</definedName>
    <definedName name="d">[3]Summary!$B$1</definedName>
    <definedName name="DNO">#REF!</definedName>
    <definedName name="EASCOM">#N/A</definedName>
    <definedName name="EASIND">#N/A</definedName>
    <definedName name="EASRES">#N/A</definedName>
    <definedName name="EASSTL">#N/A</definedName>
    <definedName name="EASTERN">#N/A</definedName>
    <definedName name="EASTOT">#N/A</definedName>
    <definedName name="FUELKWH">#N/A</definedName>
    <definedName name="GET">#REF!</definedName>
    <definedName name="GETREF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FREV">#N/A</definedName>
    <definedName name="IGREV">#N/A</definedName>
    <definedName name="INDC">#N/A</definedName>
    <definedName name="INDMOD">#REF!</definedName>
    <definedName name="ISAL">#N/A</definedName>
    <definedName name="ITREV">#N/A</definedName>
    <definedName name="LMPDelta">#REF!</definedName>
    <definedName name="LTCOM">#REF!</definedName>
    <definedName name="LTIND">#REF!</definedName>
    <definedName name="LTRES">#REF!</definedName>
    <definedName name="LTRET">#REF!</definedName>
    <definedName name="LTSTL">#REF!</definedName>
    <definedName name="nonres_T_Rate">#REF!</definedName>
    <definedName name="NORM_SALES_AND_READING_DAYS">'[6]normal sales comp '!#REF!</definedName>
    <definedName name="number_of_Summer_months_1st_Q">#REF!</definedName>
    <definedName name="number_of_Summer_months_2nd_Q">#REF!</definedName>
    <definedName name="number_of_Winter_months_1st_Q">#REF!</definedName>
    <definedName name="number_of_Winter_months_2nd_Q">#REF!</definedName>
    <definedName name="pay_terms">[5]bill_tables!$G$32:$K$41</definedName>
    <definedName name="Print_23">#REF!</definedName>
    <definedName name="_xlnm.Print_Area" localSheetId="1">'Exh 5, Pg. 1'!$A$1:$H$27</definedName>
    <definedName name="_xlnm.Print_Area" localSheetId="2">'Exh 5, Pg. 2'!$A$1:$J$36</definedName>
    <definedName name="_xlnm.Print_Area" localSheetId="5">'Exh 5A, Pg. 1'!$A$1:$Q$71</definedName>
    <definedName name="_xlnm.Print_Area" localSheetId="6">'Exh 5A, Pg. 2'!$A$1:$O$72</definedName>
    <definedName name="_xlnm.Print_Area" localSheetId="0">TOC!$A:$F</definedName>
    <definedName name="Print_Area_MI">#REF!</definedName>
    <definedName name="PRORATE">#REF!</definedName>
    <definedName name="RALLOC">#N/A</definedName>
    <definedName name="RATE">#N/A</definedName>
    <definedName name="rateyear">[7]Summary!$B$1</definedName>
    <definedName name="RBAL">#N/A</definedName>
    <definedName name="RBREV">#N/A</definedName>
    <definedName name="RBREV1">#N/A</definedName>
    <definedName name="REGCOM">#N/A</definedName>
    <definedName name="REGIND">#N/A</definedName>
    <definedName name="REGRES">#N/A</definedName>
    <definedName name="REGSTL">#N/A</definedName>
    <definedName name="RESC">#N/A</definedName>
    <definedName name="RESMOD">#REF!</definedName>
    <definedName name="RESREG">#N/A</definedName>
    <definedName name="RETMOD">#REF!</definedName>
    <definedName name="RFREV">#N/A</definedName>
    <definedName name="RGREV">#N/A</definedName>
    <definedName name="RRMOD">#REF!</definedName>
    <definedName name="RSAL">#N/A</definedName>
    <definedName name="RTREV">#N/A</definedName>
    <definedName name="RYREV">#N/A</definedName>
    <definedName name="S93_">#N/A</definedName>
    <definedName name="S94_">#N/A</definedName>
    <definedName name="S95_">#N/A</definedName>
    <definedName name="S96_">#N/A</definedName>
    <definedName name="SalesG01998F">#REF!</definedName>
    <definedName name="SalesG0Actual">#REF!</definedName>
    <definedName name="SALLOC">#N/A</definedName>
    <definedName name="SAPBEXrevision" hidden="1">1</definedName>
    <definedName name="SAPBEXsysID" hidden="1">"BWP"</definedName>
    <definedName name="SAPBEXwbID" hidden="1">"42ZG3K6G4VXMD71NV1IBVCRJO"</definedName>
    <definedName name="sbr">#REF!</definedName>
    <definedName name="sbr_combined">#REF!</definedName>
    <definedName name="sbr_jan1_jan12">#REF!</definedName>
    <definedName name="sbr_jan1_mar3">#REF!</definedName>
    <definedName name="sbr_jan13_mar3">#REF!</definedName>
    <definedName name="sbr_mar4_dec31">#REF!</definedName>
    <definedName name="SBREV">#N/A</definedName>
    <definedName name="SBREV1">#N/A</definedName>
    <definedName name="SFREV">#N/A</definedName>
    <definedName name="SGREV">#N/A</definedName>
    <definedName name="SSAL">#N/A</definedName>
    <definedName name="STLC">#N/A</definedName>
    <definedName name="STLMOD">#REF!</definedName>
    <definedName name="STREV">#N/A</definedName>
    <definedName name="Summary_IS">'[8]1999 inc. stat.'!#REF!</definedName>
    <definedName name="Summary_Titles">'[8]1999 inc. stat.'!#REF!</definedName>
    <definedName name="TOTCOM">#N/A</definedName>
    <definedName name="TOTIND">#N/A</definedName>
    <definedName name="TOTREG">#N/A</definedName>
    <definedName name="TOTRES">#N/A</definedName>
    <definedName name="wbr">#REF!</definedName>
    <definedName name="wbr_combined">#REF!</definedName>
    <definedName name="wbr_jan1_jan12">#REF!</definedName>
    <definedName name="wbr_jan1_mar3">#REF!</definedName>
    <definedName name="wbr_jan13_mar3">#REF!</definedName>
    <definedName name="wbr_mar4_dec31">#REF!</definedName>
    <definedName name="WESCOM">#N/A</definedName>
    <definedName name="WESIND">#N/A</definedName>
    <definedName name="WESRES">#N/A</definedName>
    <definedName name="WESSTL">#N/A</definedName>
    <definedName name="WESTERN">#N/A</definedName>
    <definedName name="WESTOT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0" i="9" l="1"/>
  <c r="AB24" i="9"/>
  <c r="Z24" i="9"/>
  <c r="X24" i="9"/>
  <c r="V24" i="9"/>
  <c r="T24" i="9"/>
  <c r="R24" i="9"/>
  <c r="P24" i="9"/>
  <c r="N24" i="9"/>
  <c r="L24" i="9"/>
  <c r="J24" i="9"/>
  <c r="H24" i="9"/>
  <c r="F24" i="9"/>
  <c r="AB23" i="9"/>
  <c r="Z23" i="9"/>
  <c r="X23" i="9"/>
  <c r="V23" i="9"/>
  <c r="T23" i="9"/>
  <c r="R23" i="9"/>
  <c r="P23" i="9"/>
  <c r="N23" i="9"/>
  <c r="L23" i="9"/>
  <c r="J23" i="9"/>
  <c r="H23" i="9"/>
  <c r="F23" i="9"/>
  <c r="AB22" i="9"/>
  <c r="Z22" i="9"/>
  <c r="X22" i="9"/>
  <c r="V22" i="9"/>
  <c r="T22" i="9"/>
  <c r="R22" i="9"/>
  <c r="P22" i="9"/>
  <c r="N22" i="9"/>
  <c r="L22" i="9"/>
  <c r="J22" i="9"/>
  <c r="H22" i="9"/>
  <c r="F22" i="9"/>
  <c r="AB21" i="9"/>
  <c r="Z21" i="9"/>
  <c r="X21" i="9"/>
  <c r="V21" i="9"/>
  <c r="T21" i="9"/>
  <c r="R21" i="9"/>
  <c r="P21" i="9"/>
  <c r="N21" i="9"/>
  <c r="L21" i="9"/>
  <c r="J21" i="9"/>
  <c r="H21" i="9"/>
  <c r="F21" i="9"/>
  <c r="AB20" i="9"/>
  <c r="Z20" i="9"/>
  <c r="X20" i="9"/>
  <c r="V20" i="9"/>
  <c r="T20" i="9"/>
  <c r="R20" i="9"/>
  <c r="P20" i="9"/>
  <c r="N20" i="9"/>
  <c r="L20" i="9"/>
  <c r="J20" i="9"/>
  <c r="H20" i="9"/>
  <c r="F20" i="9"/>
  <c r="AB19" i="9"/>
  <c r="Z19" i="9"/>
  <c r="X19" i="9"/>
  <c r="V19" i="9"/>
  <c r="T19" i="9"/>
  <c r="R19" i="9"/>
  <c r="P19" i="9"/>
  <c r="N19" i="9"/>
  <c r="L19" i="9"/>
  <c r="H19" i="9"/>
  <c r="F19" i="9"/>
  <c r="AD24" i="9"/>
  <c r="D24" i="38"/>
  <c r="AD23" i="9"/>
  <c r="D23" i="38"/>
  <c r="AD22" i="9"/>
  <c r="D22" i="38"/>
  <c r="AD21" i="9"/>
  <c r="D21" i="38"/>
  <c r="AD20" i="9"/>
  <c r="D20" i="38"/>
  <c r="H45" i="39"/>
  <c r="L40" i="39"/>
  <c r="H53" i="35"/>
  <c r="J19" i="9"/>
  <c r="AD19" i="9"/>
  <c r="D19" i="38"/>
  <c r="J23" i="35"/>
  <c r="D32" i="9"/>
  <c r="D33" i="9"/>
  <c r="L12" i="35"/>
  <c r="D13" i="35"/>
  <c r="D17" i="35"/>
  <c r="D25" i="35"/>
  <c r="D30" i="35"/>
  <c r="F31" i="35"/>
  <c r="F33" i="35"/>
  <c r="D31" i="35"/>
  <c r="D13" i="39"/>
  <c r="D17" i="39"/>
  <c r="F23" i="39"/>
  <c r="D31" i="39"/>
  <c r="D33" i="39"/>
  <c r="N13" i="39"/>
  <c r="N17" i="39"/>
  <c r="N23" i="39"/>
  <c r="N25" i="39"/>
  <c r="N31" i="39"/>
  <c r="N33" i="39"/>
  <c r="L13" i="39"/>
  <c r="L17" i="39"/>
  <c r="L23" i="39"/>
  <c r="L25" i="39"/>
  <c r="L31" i="39"/>
  <c r="L33" i="39"/>
  <c r="J13" i="39"/>
  <c r="J17" i="39"/>
  <c r="J31" i="39"/>
  <c r="J33" i="39"/>
  <c r="H13" i="39"/>
  <c r="H17" i="39"/>
  <c r="H23" i="39"/>
  <c r="H31" i="39"/>
  <c r="H33" i="39"/>
  <c r="F13" i="39"/>
  <c r="F17" i="39"/>
  <c r="F31" i="39"/>
  <c r="F33" i="39"/>
  <c r="F13" i="35"/>
  <c r="F17" i="35"/>
  <c r="F23" i="35"/>
  <c r="F25" i="35"/>
  <c r="H13" i="35"/>
  <c r="H17" i="35"/>
  <c r="H23" i="35"/>
  <c r="H25" i="35"/>
  <c r="J13" i="35"/>
  <c r="J17" i="35"/>
  <c r="J25" i="35"/>
  <c r="L13" i="35"/>
  <c r="L17" i="35"/>
  <c r="L23" i="35"/>
  <c r="L25" i="35"/>
  <c r="N13" i="35"/>
  <c r="N17" i="35"/>
  <c r="N23" i="35"/>
  <c r="N25" i="35"/>
  <c r="A6" i="39"/>
  <c r="A7" i="39"/>
  <c r="A8" i="39"/>
  <c r="A9" i="39"/>
  <c r="A10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A28" i="39"/>
  <c r="A29" i="39"/>
  <c r="A30" i="39"/>
  <c r="A31" i="39"/>
  <c r="A32" i="39"/>
  <c r="A33" i="39"/>
  <c r="A34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54" i="39"/>
  <c r="A55" i="39"/>
  <c r="A56" i="39"/>
  <c r="A57" i="39"/>
  <c r="A58" i="39"/>
  <c r="A59" i="39"/>
  <c r="A60" i="39"/>
  <c r="A61" i="39"/>
  <c r="A62" i="39"/>
  <c r="A63" i="39"/>
  <c r="A64" i="39"/>
  <c r="A65" i="39"/>
  <c r="A66" i="39"/>
  <c r="A67" i="39"/>
  <c r="A68" i="39"/>
  <c r="A69" i="39"/>
  <c r="A70" i="39"/>
  <c r="A71" i="39"/>
  <c r="A6" i="35"/>
  <c r="A7" i="35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F45" i="35"/>
  <c r="N45" i="35"/>
  <c r="L45" i="35"/>
  <c r="L47" i="35"/>
  <c r="N18" i="9"/>
  <c r="J45" i="35"/>
  <c r="J47" i="35"/>
  <c r="L18" i="9"/>
  <c r="H45" i="35"/>
  <c r="D47" i="35"/>
  <c r="F18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G20" i="38"/>
  <c r="G26" i="38"/>
  <c r="H26" i="38"/>
  <c r="E27" i="38"/>
  <c r="E29" i="38"/>
  <c r="F27" i="38"/>
  <c r="A2" i="31"/>
  <c r="A3" i="3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2" i="38"/>
  <c r="A3" i="38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D13" i="9"/>
  <c r="G22" i="38"/>
  <c r="G21" i="38"/>
  <c r="G19" i="38"/>
  <c r="N57" i="39"/>
  <c r="N45" i="39"/>
  <c r="N47" i="39"/>
  <c r="AB18" i="9"/>
  <c r="L45" i="39"/>
  <c r="L47" i="39"/>
  <c r="Z18" i="9"/>
  <c r="J45" i="39"/>
  <c r="J47" i="39"/>
  <c r="X18" i="9"/>
  <c r="H47" i="39"/>
  <c r="V18" i="9"/>
  <c r="F45" i="39"/>
  <c r="F47" i="39"/>
  <c r="T18" i="9"/>
  <c r="D45" i="39"/>
  <c r="N47" i="35"/>
  <c r="P18" i="9"/>
  <c r="N40" i="39"/>
  <c r="N42" i="39"/>
  <c r="AB17" i="9"/>
  <c r="L42" i="39"/>
  <c r="Z17" i="9"/>
  <c r="J40" i="39"/>
  <c r="J42" i="39"/>
  <c r="X17" i="9"/>
  <c r="H40" i="39"/>
  <c r="H42" i="39"/>
  <c r="V17" i="9"/>
  <c r="F40" i="39"/>
  <c r="F42" i="39"/>
  <c r="T17" i="9"/>
  <c r="D40" i="39"/>
  <c r="D42" i="39"/>
  <c r="R17" i="9"/>
  <c r="N40" i="35"/>
  <c r="N42" i="35"/>
  <c r="P17" i="9"/>
  <c r="L40" i="35"/>
  <c r="L42" i="35"/>
  <c r="N17" i="9"/>
  <c r="J40" i="35"/>
  <c r="J42" i="35"/>
  <c r="L17" i="9"/>
  <c r="H40" i="35"/>
  <c r="H42" i="35"/>
  <c r="J17" i="9"/>
  <c r="F40" i="35"/>
  <c r="F42" i="35"/>
  <c r="H17" i="9"/>
  <c r="N31" i="35"/>
  <c r="N33" i="35"/>
  <c r="L31" i="35"/>
  <c r="L33" i="35"/>
  <c r="J31" i="35"/>
  <c r="J33" i="35"/>
  <c r="H31" i="35"/>
  <c r="H33" i="35"/>
  <c r="A2" i="32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D17" i="32"/>
  <c r="D18" i="32"/>
  <c r="L57" i="39"/>
  <c r="J57" i="39"/>
  <c r="H57" i="39"/>
  <c r="F57" i="39"/>
  <c r="D57" i="39"/>
  <c r="N57" i="35"/>
  <c r="L57" i="35"/>
  <c r="J57" i="35"/>
  <c r="H57" i="35"/>
  <c r="F57" i="35"/>
  <c r="D57" i="35"/>
  <c r="B2" i="39"/>
  <c r="B2" i="35"/>
  <c r="B2" i="32"/>
  <c r="B2" i="9"/>
  <c r="B2" i="38"/>
  <c r="B2" i="12"/>
  <c r="G23" i="38"/>
  <c r="G24" i="38"/>
  <c r="G25" i="38"/>
  <c r="G18" i="38"/>
  <c r="G17" i="38"/>
  <c r="G16" i="38"/>
  <c r="G13" i="38"/>
  <c r="D13" i="12"/>
  <c r="D30" i="38"/>
  <c r="H30" i="38"/>
  <c r="D42" i="35"/>
  <c r="F17" i="9"/>
  <c r="F47" i="35"/>
  <c r="H18" i="9"/>
  <c r="H47" i="35"/>
  <c r="J18" i="9"/>
  <c r="D47" i="39"/>
  <c r="R18" i="9"/>
  <c r="H16" i="32"/>
  <c r="F28" i="32"/>
  <c r="P10" i="9"/>
  <c r="N10" i="9"/>
  <c r="L10" i="9"/>
  <c r="J10" i="9"/>
  <c r="H10" i="9"/>
  <c r="F10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D17" i="9"/>
  <c r="D17" i="38"/>
  <c r="AD18" i="9"/>
  <c r="D18" i="38"/>
  <c r="D15" i="12"/>
  <c r="H21" i="38"/>
  <c r="H24" i="38"/>
  <c r="D13" i="38"/>
  <c r="H13" i="38"/>
  <c r="F29" i="38"/>
  <c r="G29" i="38"/>
  <c r="G31" i="38"/>
  <c r="G27" i="38"/>
  <c r="H37" i="35"/>
  <c r="J16" i="9"/>
  <c r="J25" i="9"/>
  <c r="J30" i="9"/>
  <c r="L37" i="39"/>
  <c r="Z16" i="9"/>
  <c r="Z25" i="9"/>
  <c r="Z30" i="9"/>
  <c r="F37" i="35"/>
  <c r="F25" i="39"/>
  <c r="F37" i="39"/>
  <c r="T16" i="9"/>
  <c r="T25" i="9"/>
  <c r="T30" i="9"/>
  <c r="D19" i="32"/>
  <c r="H18" i="32"/>
  <c r="J23" i="39"/>
  <c r="J25" i="39"/>
  <c r="J37" i="39"/>
  <c r="X16" i="9"/>
  <c r="X25" i="9"/>
  <c r="X30" i="9"/>
  <c r="H25" i="39"/>
  <c r="H37" i="39"/>
  <c r="V16" i="9"/>
  <c r="V25" i="9"/>
  <c r="V30" i="9"/>
  <c r="H17" i="32"/>
  <c r="N37" i="39"/>
  <c r="AB16" i="9"/>
  <c r="AB25" i="9"/>
  <c r="AB30" i="9"/>
  <c r="D33" i="35"/>
  <c r="D37" i="35"/>
  <c r="J37" i="35"/>
  <c r="L37" i="35"/>
  <c r="N37" i="35"/>
  <c r="P16" i="9"/>
  <c r="P25" i="9"/>
  <c r="P30" i="9"/>
  <c r="D25" i="39"/>
  <c r="D37" i="39"/>
  <c r="R16" i="9"/>
  <c r="R25" i="9"/>
  <c r="R30" i="9"/>
  <c r="N63" i="35"/>
  <c r="L16" i="9"/>
  <c r="L25" i="9"/>
  <c r="L30" i="9"/>
  <c r="F16" i="9"/>
  <c r="H16" i="9"/>
  <c r="H25" i="9"/>
  <c r="H30" i="9"/>
  <c r="J63" i="39"/>
  <c r="N16" i="9"/>
  <c r="N25" i="9"/>
  <c r="N30" i="9"/>
  <c r="H20" i="38"/>
  <c r="H23" i="38"/>
  <c r="H19" i="38"/>
  <c r="L63" i="35"/>
  <c r="D63" i="39"/>
  <c r="L63" i="39"/>
  <c r="F63" i="35"/>
  <c r="H63" i="35"/>
  <c r="H18" i="38"/>
  <c r="F63" i="39"/>
  <c r="H63" i="39"/>
  <c r="J63" i="35"/>
  <c r="H17" i="38"/>
  <c r="H19" i="32"/>
  <c r="D20" i="32"/>
  <c r="N63" i="39"/>
  <c r="D63" i="35"/>
  <c r="AD16" i="9"/>
  <c r="D16" i="38"/>
  <c r="F25" i="9"/>
  <c r="F30" i="9"/>
  <c r="N66" i="39"/>
  <c r="H20" i="32"/>
  <c r="D21" i="32"/>
  <c r="AD25" i="9"/>
  <c r="F31" i="9"/>
  <c r="H21" i="32"/>
  <c r="D22" i="32"/>
  <c r="H22" i="38"/>
  <c r="F32" i="9"/>
  <c r="F33" i="9"/>
  <c r="F34" i="9"/>
  <c r="F35" i="9"/>
  <c r="H31" i="9"/>
  <c r="D16" i="12"/>
  <c r="D17" i="12"/>
  <c r="H16" i="38"/>
  <c r="H22" i="32"/>
  <c r="D23" i="32"/>
  <c r="H32" i="9"/>
  <c r="H33" i="9"/>
  <c r="H34" i="9"/>
  <c r="H35" i="9"/>
  <c r="J31" i="9"/>
  <c r="H23" i="32"/>
  <c r="D24" i="32"/>
  <c r="J32" i="9"/>
  <c r="J33" i="9"/>
  <c r="J34" i="9"/>
  <c r="J35" i="9"/>
  <c r="L31" i="9"/>
  <c r="H24" i="32"/>
  <c r="D25" i="32"/>
  <c r="L32" i="9"/>
  <c r="L33" i="9"/>
  <c r="L34" i="9"/>
  <c r="L35" i="9"/>
  <c r="N31" i="9"/>
  <c r="H25" i="32"/>
  <c r="D26" i="32"/>
  <c r="N32" i="9"/>
  <c r="N33" i="9"/>
  <c r="N34" i="9"/>
  <c r="N35" i="9"/>
  <c r="P31" i="9"/>
  <c r="H26" i="32"/>
  <c r="D27" i="32"/>
  <c r="H27" i="32"/>
  <c r="H28" i="32"/>
  <c r="R31" i="9"/>
  <c r="P32" i="9"/>
  <c r="P33" i="9"/>
  <c r="P34" i="9"/>
  <c r="P35" i="9"/>
  <c r="R32" i="9"/>
  <c r="R33" i="9"/>
  <c r="R34" i="9"/>
  <c r="R35" i="9"/>
  <c r="T31" i="9"/>
  <c r="T32" i="9"/>
  <c r="T33" i="9"/>
  <c r="T34" i="9"/>
  <c r="T35" i="9"/>
  <c r="V31" i="9"/>
  <c r="X31" i="9"/>
  <c r="V32" i="9"/>
  <c r="V33" i="9"/>
  <c r="V34" i="9"/>
  <c r="V35" i="9"/>
  <c r="Z31" i="9"/>
  <c r="X32" i="9"/>
  <c r="X33" i="9"/>
  <c r="X34" i="9"/>
  <c r="X35" i="9"/>
  <c r="AB31" i="9"/>
  <c r="Z32" i="9"/>
  <c r="Z33" i="9"/>
  <c r="Z34" i="9"/>
  <c r="Z35" i="9"/>
  <c r="AD39" i="9"/>
  <c r="AB32" i="9"/>
  <c r="AB33" i="9"/>
  <c r="AB34" i="9"/>
  <c r="AB35" i="9"/>
  <c r="AD35" i="9"/>
  <c r="AD40" i="9"/>
  <c r="AD41" i="9"/>
  <c r="D25" i="38"/>
  <c r="D18" i="12"/>
  <c r="H25" i="38"/>
  <c r="H27" i="38"/>
  <c r="H29" i="38"/>
  <c r="H31" i="38"/>
  <c r="D19" i="12"/>
  <c r="D21" i="12"/>
  <c r="D27" i="38"/>
  <c r="D29" i="38"/>
  <c r="D31" i="38"/>
</calcChain>
</file>

<file path=xl/sharedStrings.xml><?xml version="1.0" encoding="utf-8"?>
<sst xmlns="http://schemas.openxmlformats.org/spreadsheetml/2006/main" count="627" uniqueCount="332">
  <si>
    <t>Total</t>
  </si>
  <si>
    <t>Local Network Service (LNS)</t>
  </si>
  <si>
    <t>Regional Network Service (RNS)</t>
  </si>
  <si>
    <t>Scheduling and Dispatch (S&amp;D)</t>
  </si>
  <si>
    <t>Hydro-Quebec</t>
  </si>
  <si>
    <t xml:space="preserve"> </t>
  </si>
  <si>
    <t>CT Gross Earnings Tax</t>
  </si>
  <si>
    <t>Transmission Revenues</t>
  </si>
  <si>
    <t>Description</t>
  </si>
  <si>
    <t>(a)</t>
  </si>
  <si>
    <t>Transmission Expenses</t>
  </si>
  <si>
    <t>.</t>
  </si>
  <si>
    <t>Reference</t>
  </si>
  <si>
    <t>Table of Contents</t>
  </si>
  <si>
    <t>Page(s)</t>
  </si>
  <si>
    <t>1-2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</si>
  <si>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</si>
  <si>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</si>
  <si>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</si>
  <si>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</si>
  <si>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</si>
  <si>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</si>
  <si>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</si>
  <si>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</si>
  <si>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</si>
  <si>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</si>
  <si>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</si>
  <si>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</si>
  <si>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Notes:</t>
  </si>
  <si>
    <t>TAC Rate</t>
  </si>
  <si>
    <t xml:space="preserve">February </t>
  </si>
  <si>
    <t xml:space="preserve">May </t>
  </si>
  <si>
    <t>Month</t>
  </si>
  <si>
    <t xml:space="preserve">Note:  </t>
  </si>
  <si>
    <t>Carrying Cost Calculation</t>
  </si>
  <si>
    <t>Deferral Calculation</t>
  </si>
  <si>
    <t>Total Transmission Expenses</t>
  </si>
  <si>
    <t>Transmission Adjustment Clause (TAC)</t>
  </si>
  <si>
    <t>Pgs. 4-5</t>
  </si>
  <si>
    <t>Open Access Transmission Tariff Schedule 21-NU True Up</t>
  </si>
  <si>
    <t>Open Access Transmission Tariff, Category B United Illuminating Bill</t>
  </si>
  <si>
    <t>Pg. 8</t>
  </si>
  <si>
    <t>Open Access Transmission Tariff, Category B United Illuminating Bill - True-up</t>
  </si>
  <si>
    <t>Open Access Transmission Tariff, Category B CMEEC Bill</t>
  </si>
  <si>
    <t>ISO Bill Allocation, Prior Month Actual</t>
  </si>
  <si>
    <t>Reverse Prior Month Estimate</t>
  </si>
  <si>
    <t>Current Month Estimate</t>
  </si>
  <si>
    <t>Phase II DC Facility Support NEH</t>
  </si>
  <si>
    <t>Phase II DC Facility Support NHH</t>
  </si>
  <si>
    <t xml:space="preserve"> Name</t>
  </si>
  <si>
    <t>Abbreviation</t>
  </si>
  <si>
    <t>New England Electric Transmission Corp</t>
  </si>
  <si>
    <t>NEET</t>
  </si>
  <si>
    <t>Vermont Electric Transmission Company, Inc.</t>
  </si>
  <si>
    <t>VET</t>
  </si>
  <si>
    <t>New England Hydro-Transmission Electric Co. Inc.</t>
  </si>
  <si>
    <t>NEH</t>
  </si>
  <si>
    <t>New England Hydro-Transmission Corp</t>
  </si>
  <si>
    <t>NHH</t>
  </si>
  <si>
    <t>Connecticut Municipal Electrical Energy Cooperative</t>
  </si>
  <si>
    <t>CMEEC</t>
  </si>
  <si>
    <t>Exhibit 5</t>
  </si>
  <si>
    <t>Balance, Net of Tax</t>
  </si>
  <si>
    <t>12 Months Ended</t>
  </si>
  <si>
    <t>Summary of Transmission Adjustment Clause (TAC) Balances</t>
  </si>
  <si>
    <t>Variance</t>
  </si>
  <si>
    <t>Total Revenues</t>
  </si>
  <si>
    <t>Expenses</t>
  </si>
  <si>
    <t>Total Expenses</t>
  </si>
  <si>
    <t>Balance @</t>
  </si>
  <si>
    <t>Carrying Costs</t>
  </si>
  <si>
    <t>Revenue</t>
  </si>
  <si>
    <t>Exhibit 5A</t>
  </si>
  <si>
    <t>The Connecticut Light and Power Company dba Eversource Energy</t>
  </si>
  <si>
    <t>FERC</t>
  </si>
  <si>
    <t>Account</t>
  </si>
  <si>
    <t>565L1X</t>
  </si>
  <si>
    <t>565N8X</t>
  </si>
  <si>
    <t>565000</t>
  </si>
  <si>
    <t>56522X</t>
  </si>
  <si>
    <t>Open Access Transmission Tariff, Category B United Illuminating</t>
  </si>
  <si>
    <t>56523X</t>
  </si>
  <si>
    <t>Amount</t>
  </si>
  <si>
    <t>Prior Period Adjustments</t>
  </si>
  <si>
    <t xml:space="preserve">Hydro Quebec Phase I NEET </t>
  </si>
  <si>
    <t>Open Access Transmission Tariff Schedule 21-NU, Category A - Intra Co. Exp.</t>
  </si>
  <si>
    <t>Open Access Transmission Tariff Schedule 21-NU, Category A - Inter Co. Exp.</t>
  </si>
  <si>
    <t>Open Access Transmission Tariff, Category B CMEEC</t>
  </si>
  <si>
    <t xml:space="preserve">Open Access Transmission Tariff Schedule 21-NU, Category B </t>
  </si>
  <si>
    <t>(b)</t>
  </si>
  <si>
    <t>Monthly (Over-Collection) / Shortfall</t>
  </si>
  <si>
    <t>After Tax Average Balance</t>
  </si>
  <si>
    <t>Ending Balance</t>
  </si>
  <si>
    <t>Actual</t>
  </si>
  <si>
    <t xml:space="preserve">Total </t>
  </si>
  <si>
    <t>Summary of  TAC Balances</t>
  </si>
  <si>
    <t>Monthly TAC  Revenue Requirements Calculation</t>
  </si>
  <si>
    <t>KWH</t>
  </si>
  <si>
    <t>Average</t>
  </si>
  <si>
    <t>cents/kWh</t>
  </si>
  <si>
    <t>TAC - Exhibit 5</t>
  </si>
  <si>
    <t>Exhibit 5A (Compliance Item for Docket No. 07-06-01, Order No. 4)</t>
  </si>
  <si>
    <t xml:space="preserve">Open Access Transmission Tariff Schedule 21-NU, Category B True-Up </t>
  </si>
  <si>
    <t>(c)</t>
  </si>
  <si>
    <t>Transmission Consultant Expenses</t>
  </si>
  <si>
    <t xml:space="preserve">Open Access Transmission Tariff, Category B CMEEC </t>
  </si>
  <si>
    <t>Profits associated with Hydro Quebec Entitlements</t>
  </si>
  <si>
    <t>GET Associated with Hydro Quebec Entitlements</t>
  </si>
  <si>
    <t>Transmission Revenues (a)</t>
  </si>
  <si>
    <t>HQ Entitlement Revenue</t>
  </si>
  <si>
    <t>GET on Entitlement Revenue</t>
  </si>
  <si>
    <t>Lines 15 + 16</t>
  </si>
  <si>
    <t>Lines 17 + 18</t>
  </si>
  <si>
    <t>Line 13 + Line 19</t>
  </si>
  <si>
    <t>Exhibit 5, Page 3, Line 13</t>
  </si>
  <si>
    <t>Pgs. 218-219</t>
  </si>
  <si>
    <t>Net Transmission Expenses ( Exhibit 5, Page 3, Line 14)</t>
  </si>
  <si>
    <t>1st 6 Months Forecasted to Actual True-Up</t>
  </si>
  <si>
    <t>(a) Revenues recorded in FERC accounts 440000,442010,442020,444000,446000,44201X</t>
  </si>
  <si>
    <t>555410/447210</t>
  </si>
  <si>
    <t>447210/555410</t>
  </si>
  <si>
    <t>Hydro Quebec Phase I VET</t>
  </si>
  <si>
    <t>Open Access Transmission Tariff, Category B CMEEC Bill - True-up</t>
  </si>
  <si>
    <t>Open Access Transmission Tariff Schedule 21-NU, Category A</t>
  </si>
  <si>
    <t>Pgs. 85-87</t>
  </si>
  <si>
    <t>Pg. 159</t>
  </si>
  <si>
    <t>Pgs. 250-251</t>
  </si>
  <si>
    <t>Pgs. 268-270</t>
  </si>
  <si>
    <t>Pgs. 271-274</t>
  </si>
  <si>
    <t>Pgs. 312-315</t>
  </si>
  <si>
    <t>Pgs. 318-319</t>
  </si>
  <si>
    <t>HQ ICC Revenues</t>
  </si>
  <si>
    <t>Docket No. 20-03-01</t>
  </si>
  <si>
    <t>Revenues and Expenses, January - December 2019 Actuals and Forecast</t>
  </si>
  <si>
    <t>TAC Forecasted Revenues:  January - December 2020 @ Current Rates</t>
  </si>
  <si>
    <t>2019 Monthly TAC Expense and Invoice Reconciliation</t>
  </si>
  <si>
    <t xml:space="preserve">2019 Monthly TAC Invoices </t>
  </si>
  <si>
    <t>Beginning Balance at January 1, 2019 (Over-Collection)/Shortfall</t>
  </si>
  <si>
    <t>Total 2019 (Over-Collection)/Shortfall Before Carrying Costs</t>
  </si>
  <si>
    <t>2019 Carrying Cost (Credit)/Charge</t>
  </si>
  <si>
    <t>Total 2019 (Over-Collection)/Shortfall Including Carrying Costs</t>
  </si>
  <si>
    <t>Ending Balance as of December 31, 2019 (Over-Collection)/ Shortfall</t>
  </si>
  <si>
    <t>2019 Transmission Revenues and Expenses Actuals and Forecasted</t>
  </si>
  <si>
    <t>Actual 
12/31/2019</t>
  </si>
  <si>
    <t>Jan - Jun              2019              Forecast</t>
  </si>
  <si>
    <t>Jul - Dec          2019          Forecast</t>
  </si>
  <si>
    <t>2019           Forecast           Total</t>
  </si>
  <si>
    <t>Total (Over-Collection)/Shortfall from 2019</t>
  </si>
  <si>
    <t>(Over-Collection)/ Shortfall for 2018</t>
  </si>
  <si>
    <t>Total (Over-Collection)/ Shortfall as of 12/31/19</t>
  </si>
  <si>
    <t>(b)  Figures from Docket No. 19-01-01 for rates effective January 1, 2019.</t>
  </si>
  <si>
    <t>(c)  Figures from Docket No. 19-01-01 for rates effective July 1, 2019.</t>
  </si>
  <si>
    <t>2019 Monthly Transmission Revenue Requirement Calculation</t>
  </si>
  <si>
    <t>Transmission  Forecasted Revenues: January - December 2020</t>
  </si>
  <si>
    <t>January 2019 Through June 2019 Expense to Invoice Reconciliation</t>
  </si>
  <si>
    <t>July 2019 Through December 2019 Expense to Invoice Reconciliation</t>
  </si>
  <si>
    <t>The revenues have been projected through December 2020 based on the current TAC rate</t>
  </si>
  <si>
    <t>of 2.338 cents/kWh. This rate was effective January 1, 2020 in Docket No. 20-01-01.  Any</t>
  </si>
  <si>
    <t>change in the TAC rate at July 1, 2020 will be filed on or about June 13th in Docket 20-01-01.</t>
  </si>
  <si>
    <t>Total 2019</t>
  </si>
  <si>
    <t>12/31/19 (Over-Collection) (Page 1, Ln. 21)</t>
  </si>
  <si>
    <t>(a)  Figures from Exhibit 5, Pages 3</t>
  </si>
  <si>
    <t>Page 1 of 4</t>
  </si>
  <si>
    <t>Page 2 of 4</t>
  </si>
  <si>
    <t>Page 3 of 4</t>
  </si>
  <si>
    <t>Page 4 of 4</t>
  </si>
  <si>
    <t>Exhibit 5, Page 3, Line 25</t>
  </si>
  <si>
    <t>Ending Balance at 12/31/19 (Line 36)</t>
  </si>
  <si>
    <t>2019 Carrying Costs (Line 40)</t>
  </si>
  <si>
    <t>(Over-Collection) / Shortfall from 12/31/18  (c)</t>
  </si>
  <si>
    <t>Less: Accumulated Deferred Income Taxes  (d)</t>
  </si>
  <si>
    <t>Monthly Carrying Cost (Credit)/Charge (e), (f)</t>
  </si>
  <si>
    <t>(c) Docket 19-03-01, Decision dated December 4, 2019, page 10, 12/31/2018 undercollection amount accepted.</t>
  </si>
  <si>
    <t xml:space="preserve">(d) 2019 ADIT Effective Tax Rate </t>
  </si>
  <si>
    <t>(e) Pre-Tax WACC  (Docket No. 17-10-46), effective 1/01/2019-4/30/2019</t>
  </si>
  <si>
    <t>(f) Pre-Tax WACC  (Docket No. 17-10-46), effective 5/01/2019-12/31/2019</t>
  </si>
  <si>
    <t>Transmission Expenses (b)</t>
  </si>
  <si>
    <t>(b) The supporting invoices and FERC accounts are provided on Exhibit 5(a)</t>
  </si>
  <si>
    <t>Local Network Service (LNS) and Category B (Localized)</t>
  </si>
  <si>
    <t>Pgs. 6-7</t>
  </si>
  <si>
    <t>Pg. 9</t>
  </si>
  <si>
    <t>Pgs. 10-17</t>
  </si>
  <si>
    <t>Pg. 18</t>
  </si>
  <si>
    <t>Pgs. 18-20</t>
  </si>
  <si>
    <t>Pgs. 21-22</t>
  </si>
  <si>
    <t>Pgs. 23-25</t>
  </si>
  <si>
    <t>Pgs. 26-29</t>
  </si>
  <si>
    <t>Pgs. 30-32</t>
  </si>
  <si>
    <t>Pgs. 33-36</t>
  </si>
  <si>
    <t>Pgs. 38-39</t>
  </si>
  <si>
    <t>Pgs. 40-41</t>
  </si>
  <si>
    <t>Pg. 42</t>
  </si>
  <si>
    <t>Pg. 43</t>
  </si>
  <si>
    <t>Pgs. 44-51</t>
  </si>
  <si>
    <t>Pgs. 52-54</t>
  </si>
  <si>
    <t>Pg. 52</t>
  </si>
  <si>
    <t>Pgs. 55-56</t>
  </si>
  <si>
    <t>Pgs. 57-59</t>
  </si>
  <si>
    <t>Pgs. 60-62</t>
  </si>
  <si>
    <t>Pgs. 63-66</t>
  </si>
  <si>
    <t>Pgs. 68-69</t>
  </si>
  <si>
    <t>Pgs. 70-71</t>
  </si>
  <si>
    <t>Pg. 72</t>
  </si>
  <si>
    <t>Pg. 73</t>
  </si>
  <si>
    <t>Pgs. 74-81</t>
  </si>
  <si>
    <t>Pgs. 82-84</t>
  </si>
  <si>
    <t>Pg. 82</t>
  </si>
  <si>
    <t>Pgs. 88-90</t>
  </si>
  <si>
    <t>Pgs. 91-98</t>
  </si>
  <si>
    <t>Pgs. 99-101</t>
  </si>
  <si>
    <t>Pgs. 102-105</t>
  </si>
  <si>
    <t>Pgs. 108-109</t>
  </si>
  <si>
    <t>Pgs. 110-111</t>
  </si>
  <si>
    <t>Pg. 112</t>
  </si>
  <si>
    <t>Pg. 113</t>
  </si>
  <si>
    <t>Pgs. 114-121</t>
  </si>
  <si>
    <t>Pgs. 122-123</t>
  </si>
  <si>
    <t>Pg. 122</t>
  </si>
  <si>
    <t>Pgs. 124-127</t>
  </si>
  <si>
    <t>Pgs. 128-130</t>
  </si>
  <si>
    <t>Pgs. 131-134</t>
  </si>
  <si>
    <t>Pgs. 135-137</t>
  </si>
  <si>
    <t>Pgs. 138-141</t>
  </si>
  <si>
    <t>Pgs. 144-145</t>
  </si>
  <si>
    <t>Pg. 146</t>
  </si>
  <si>
    <t>Pgs. 147-148</t>
  </si>
  <si>
    <t>Pg. 147</t>
  </si>
  <si>
    <t>Pg. 149</t>
  </si>
  <si>
    <t>Pg. 150</t>
  </si>
  <si>
    <t>Pgs. 151-158</t>
  </si>
  <si>
    <t>Pgs. 159-160</t>
  </si>
  <si>
    <t>Pgs. 161-163</t>
  </si>
  <si>
    <t>Pgs. 164-166</t>
  </si>
  <si>
    <t>Pgs. 167-170</t>
  </si>
  <si>
    <t>Pgs. 171-173</t>
  </si>
  <si>
    <t>Pgs. 174-177</t>
  </si>
  <si>
    <t>Pgs. 180-181</t>
  </si>
  <si>
    <t>Pgs. 182-183</t>
  </si>
  <si>
    <t>Pg. 186</t>
  </si>
  <si>
    <t>Pgs. 184-185</t>
  </si>
  <si>
    <t>Pg. 185</t>
  </si>
  <si>
    <t>Pgs. 187-194</t>
  </si>
  <si>
    <t>Pgs. 195-196</t>
  </si>
  <si>
    <t>Pg. 195</t>
  </si>
  <si>
    <t>Pgs. 197-200</t>
  </si>
  <si>
    <t>Pgs. 201-203</t>
  </si>
  <si>
    <t>Pgs. 204-207</t>
  </si>
  <si>
    <t>Pgs. 208-210</t>
  </si>
  <si>
    <t>Pgs. 211-214</t>
  </si>
  <si>
    <t>Pgs. 216-217</t>
  </si>
  <si>
    <t>Pg. 220</t>
  </si>
  <si>
    <t>Pg. 221</t>
  </si>
  <si>
    <t>Pgs. 222-229</t>
  </si>
  <si>
    <t>Pgs. 230-231</t>
  </si>
  <si>
    <t>Pg. 230</t>
  </si>
  <si>
    <t>Pgs. 232-234</t>
  </si>
  <si>
    <t>Pgs. 235-237</t>
  </si>
  <si>
    <t>Pgs. 238-241</t>
  </si>
  <si>
    <t>Pgs. 242-244</t>
  </si>
  <si>
    <t>Pgs. 245-248</t>
  </si>
  <si>
    <t>Pgs. 252-253</t>
  </si>
  <si>
    <t>Pg. 254</t>
  </si>
  <si>
    <t>Pg. 255</t>
  </si>
  <si>
    <t>Pgs. 256-263</t>
  </si>
  <si>
    <t>Pgs. 264-265</t>
  </si>
  <si>
    <t>Pg. 264</t>
  </si>
  <si>
    <t>Pgs. 266-267</t>
  </si>
  <si>
    <t>Pgs. 275-277</t>
  </si>
  <si>
    <t>Pgs. 278-281</t>
  </si>
  <si>
    <t>Pgs. 284-285</t>
  </si>
  <si>
    <t>Pgs. 286-287</t>
  </si>
  <si>
    <t>Pg. 288</t>
  </si>
  <si>
    <t>Pg. 289</t>
  </si>
  <si>
    <t>Pgs. 290-297</t>
  </si>
  <si>
    <t>Pgs. 298-299</t>
  </si>
  <si>
    <t>Pg. 298</t>
  </si>
  <si>
    <t>Pgs. 300-301</t>
  </si>
  <si>
    <t>Pgs. 302-304</t>
  </si>
  <si>
    <t>Pgs. 305-308</t>
  </si>
  <si>
    <t>Pgs. 309-311</t>
  </si>
  <si>
    <t>Pgs. 320-321</t>
  </si>
  <si>
    <t>Pg. 322</t>
  </si>
  <si>
    <t>Pg. 323</t>
  </si>
  <si>
    <t>Pgs. 324-331</t>
  </si>
  <si>
    <t>Pgs. 332-333</t>
  </si>
  <si>
    <t>Pg. 332</t>
  </si>
  <si>
    <t>Pgs. 334-335</t>
  </si>
  <si>
    <t>Pgs. 336-338</t>
  </si>
  <si>
    <t>Pgs. 339-342</t>
  </si>
  <si>
    <t>Pgs. 343-345</t>
  </si>
  <si>
    <t>Pgs. 346-349</t>
  </si>
  <si>
    <t>Pgs. 352-353</t>
  </si>
  <si>
    <t>Pgs. 354-355</t>
  </si>
  <si>
    <t>Pg. 356</t>
  </si>
  <si>
    <t>Pg. 357</t>
  </si>
  <si>
    <t>Pgs. 358-365</t>
  </si>
  <si>
    <t>Pgs. 366-367</t>
  </si>
  <si>
    <t>Pg. 366</t>
  </si>
  <si>
    <t>Pgs. 368-371</t>
  </si>
  <si>
    <t>Pgs. 372-375</t>
  </si>
  <si>
    <t>Pgs. 376-378</t>
  </si>
  <si>
    <t>Pgs. 379-384</t>
  </si>
  <si>
    <t>Pgs. 386-387</t>
  </si>
  <si>
    <t>Pgs. 388-389</t>
  </si>
  <si>
    <t>Pg. 390</t>
  </si>
  <si>
    <t>Pg. 391</t>
  </si>
  <si>
    <t>Pgs. 392-399</t>
  </si>
  <si>
    <t>Pgs. 400-401</t>
  </si>
  <si>
    <t>Pg. 400</t>
  </si>
  <si>
    <t>Pgs. 405-408</t>
  </si>
  <si>
    <t>Pgs. 409-411</t>
  </si>
  <si>
    <t>Pgs. 412-414</t>
  </si>
  <si>
    <t>Pgs. 415-418</t>
  </si>
  <si>
    <t>Page 1 of 418</t>
  </si>
  <si>
    <t>Page 2 of 418</t>
  </si>
  <si>
    <t>3-418</t>
  </si>
  <si>
    <t>Pgs. 402-404</t>
  </si>
  <si>
    <t>Exhibit 5A (Compliance Item for Docket No. 19-03-01, Order No. 8)</t>
  </si>
  <si>
    <t>12-15</t>
  </si>
  <si>
    <t>46-49</t>
  </si>
  <si>
    <t>76-79</t>
  </si>
  <si>
    <t>116-119</t>
  </si>
  <si>
    <t>153-156</t>
  </si>
  <si>
    <t>189-192</t>
  </si>
  <si>
    <t>224-227</t>
  </si>
  <si>
    <t>258-261</t>
  </si>
  <si>
    <t>292-295</t>
  </si>
  <si>
    <t>326-329</t>
  </si>
  <si>
    <t>360-363</t>
  </si>
  <si>
    <t>394-397</t>
  </si>
  <si>
    <t>Exhibit 5, Page 3, Line 35</t>
  </si>
  <si>
    <t>Exhibit 5, Page 3, Line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</si>
</sst>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  <numFmt numFmtId="167" formatCode="[$-409]mmm\-yy;@"/>
    <numFmt numFmtId="168" formatCode="_(* #,##0.000_);_(* \(#,##0.000\);_(* &quot;-&quot;???_);_(@_)"/>
    <numFmt numFmtId="169" formatCode="0.0000%"/>
    <numFmt numFmtId="170" formatCode="0.000000"/>
    <numFmt numFmtId="171" formatCode="_(* #,##0.00_);_(* \(#,##0.00\);_(* &quot;-&quot;_);_(@_)"/>
    <numFmt numFmtId="172" formatCode="mmmm\ yyyy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u/>
      <sz val="10"/>
      <color rgb="FFFF0000"/>
      <name val="Times New Roman"/>
      <family val="1"/>
    </font>
    <font>
      <sz val="28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1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6" fillId="2" borderId="1" applyNumberFormat="0" applyProtection="0">
      <alignment vertical="center"/>
    </xf>
    <xf numFmtId="4" fontId="7" fillId="3" borderId="1" applyNumberFormat="0" applyProtection="0">
      <alignment vertical="center"/>
    </xf>
    <xf numFmtId="4" fontId="6" fillId="3" borderId="1" applyNumberFormat="0" applyProtection="0">
      <alignment horizontal="left" vertical="center" indent="1"/>
    </xf>
    <xf numFmtId="0" fontId="6" fillId="3" borderId="1" applyNumberFormat="0" applyProtection="0">
      <alignment horizontal="left" vertical="top" indent="1"/>
    </xf>
    <xf numFmtId="4" fontId="6" fillId="4" borderId="0" applyNumberFormat="0" applyProtection="0">
      <alignment horizontal="left" vertical="center" indent="1"/>
    </xf>
    <xf numFmtId="4" fontId="8" fillId="5" borderId="1" applyNumberFormat="0" applyProtection="0">
      <alignment horizontal="right" vertical="center"/>
    </xf>
    <xf numFmtId="4" fontId="8" fillId="6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9" borderId="1" applyNumberFormat="0" applyProtection="0">
      <alignment horizontal="right" vertical="center"/>
    </xf>
    <xf numFmtId="4" fontId="8" fillId="10" borderId="1" applyNumberFormat="0" applyProtection="0">
      <alignment horizontal="right" vertical="center"/>
    </xf>
    <xf numFmtId="4" fontId="8" fillId="11" borderId="1" applyNumberFormat="0" applyProtection="0">
      <alignment horizontal="right" vertical="center"/>
    </xf>
    <xf numFmtId="4" fontId="8" fillId="12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6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8" fillId="17" borderId="1" applyNumberFormat="0" applyProtection="0">
      <alignment horizontal="right" vertical="center"/>
    </xf>
    <xf numFmtId="4" fontId="10" fillId="15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3" fillId="16" borderId="1" applyNumberFormat="0" applyProtection="0">
      <alignment horizontal="left" vertical="center" indent="1"/>
    </xf>
    <xf numFmtId="0" fontId="3" fillId="16" borderId="1" applyNumberFormat="0" applyProtection="0">
      <alignment horizontal="left" vertical="top" indent="1"/>
    </xf>
    <xf numFmtId="0" fontId="3" fillId="4" borderId="1" applyNumberFormat="0" applyProtection="0">
      <alignment horizontal="left" vertical="center" indent="1"/>
    </xf>
    <xf numFmtId="0" fontId="3" fillId="4" borderId="1" applyNumberFormat="0" applyProtection="0">
      <alignment horizontal="left" vertical="top" indent="1"/>
    </xf>
    <xf numFmtId="0" fontId="3" fillId="18" borderId="1" applyNumberFormat="0" applyProtection="0">
      <alignment horizontal="left" vertical="center" indent="1"/>
    </xf>
    <xf numFmtId="0" fontId="3" fillId="18" borderId="1" applyNumberFormat="0" applyProtection="0">
      <alignment horizontal="left" vertical="top" indent="1"/>
    </xf>
    <xf numFmtId="0" fontId="3" fillId="19" borderId="1" applyNumberFormat="0" applyProtection="0">
      <alignment horizontal="left" vertical="center" indent="1"/>
    </xf>
    <xf numFmtId="0" fontId="3" fillId="19" borderId="1" applyNumberFormat="0" applyProtection="0">
      <alignment horizontal="left" vertical="top" indent="1"/>
    </xf>
    <xf numFmtId="4" fontId="8" fillId="20" borderId="1" applyNumberFormat="0" applyProtection="0">
      <alignment vertical="center"/>
    </xf>
    <xf numFmtId="4" fontId="11" fillId="20" borderId="1" applyNumberFormat="0" applyProtection="0">
      <alignment vertical="center"/>
    </xf>
    <xf numFmtId="4" fontId="8" fillId="20" borderId="1" applyNumberFormat="0" applyProtection="0">
      <alignment horizontal="left" vertical="center" indent="1"/>
    </xf>
    <xf numFmtId="0" fontId="8" fillId="20" borderId="1" applyNumberFormat="0" applyProtection="0">
      <alignment horizontal="left" vertical="top" indent="1"/>
    </xf>
    <xf numFmtId="4" fontId="8" fillId="15" borderId="1" applyNumberFormat="0" applyProtection="0">
      <alignment horizontal="right" vertical="center"/>
    </xf>
    <xf numFmtId="4" fontId="11" fillId="15" borderId="1" applyNumberFormat="0" applyProtection="0">
      <alignment horizontal="right" vertical="center"/>
    </xf>
    <xf numFmtId="4" fontId="8" fillId="17" borderId="1" applyNumberFormat="0" applyProtection="0">
      <alignment horizontal="left" vertical="center" indent="1"/>
    </xf>
    <xf numFmtId="0" fontId="8" fillId="4" borderId="1" applyNumberFormat="0" applyProtection="0">
      <alignment horizontal="left" vertical="top" indent="1"/>
    </xf>
    <xf numFmtId="4" fontId="12" fillId="21" borderId="0" applyNumberFormat="0" applyProtection="0">
      <alignment horizontal="left" vertical="center" indent="1"/>
    </xf>
    <xf numFmtId="4" fontId="5" fillId="15" borderId="1" applyNumberFormat="0" applyProtection="0">
      <alignment horizontal="right" vertical="center"/>
    </xf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13" fillId="0" borderId="0"/>
    <xf numFmtId="0" fontId="4" fillId="0" borderId="0"/>
    <xf numFmtId="44" fontId="2" fillId="0" borderId="0" applyFont="0" applyFill="0" applyBorder="0" applyAlignment="0" applyProtection="0"/>
    <xf numFmtId="0" fontId="3" fillId="0" borderId="0"/>
    <xf numFmtId="4" fontId="8" fillId="15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14" fillId="0" borderId="0" xfId="41" applyFont="1"/>
    <xf numFmtId="0" fontId="15" fillId="0" borderId="0" xfId="41" applyFont="1" applyAlignment="1">
      <alignment horizontal="right"/>
    </xf>
    <xf numFmtId="0" fontId="14" fillId="0" borderId="0" xfId="41" applyFont="1" applyAlignment="1">
      <alignment horizontal="center"/>
    </xf>
    <xf numFmtId="0" fontId="14" fillId="0" borderId="0" xfId="41" applyFont="1" applyAlignment="1">
      <alignment horizontal="right"/>
    </xf>
    <xf numFmtId="0" fontId="15" fillId="0" borderId="0" xfId="0" applyFont="1" applyAlignment="1"/>
    <xf numFmtId="0" fontId="14" fillId="0" borderId="0" xfId="0" applyFont="1" applyFill="1"/>
    <xf numFmtId="15" fontId="15" fillId="0" borderId="0" xfId="0" quotePrefix="1" applyNumberFormat="1" applyFont="1"/>
    <xf numFmtId="0" fontId="15" fillId="0" borderId="0" xfId="0" applyFont="1" applyFill="1"/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horizontal="centerContinuous"/>
    </xf>
    <xf numFmtId="0" fontId="14" fillId="0" borderId="0" xfId="0" applyFont="1" applyFill="1" applyBorder="1"/>
    <xf numFmtId="0" fontId="15" fillId="0" borderId="0" xfId="0" applyFont="1"/>
    <xf numFmtId="0" fontId="15" fillId="0" borderId="0" xfId="0" quotePrefix="1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14" fontId="15" fillId="0" borderId="3" xfId="0" applyNumberFormat="1" applyFont="1" applyBorder="1" applyAlignment="1">
      <alignment horizontal="center" wrapText="1"/>
    </xf>
    <xf numFmtId="0" fontId="14" fillId="0" borderId="0" xfId="0" applyFont="1" applyBorder="1"/>
    <xf numFmtId="0" fontId="14" fillId="0" borderId="0" xfId="0" applyFont="1" applyBorder="1" applyAlignment="1"/>
    <xf numFmtId="166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6" fontId="14" fillId="0" borderId="0" xfId="2" applyNumberFormat="1" applyFont="1"/>
    <xf numFmtId="41" fontId="14" fillId="0" borderId="0" xfId="0" applyNumberFormat="1" applyFont="1" applyBorder="1"/>
    <xf numFmtId="41" fontId="14" fillId="0" borderId="3" xfId="0" applyNumberFormat="1" applyFont="1" applyBorder="1"/>
    <xf numFmtId="166" fontId="14" fillId="0" borderId="0" xfId="2" applyNumberFormat="1" applyFont="1" applyBorder="1"/>
    <xf numFmtId="41" fontId="14" fillId="0" borderId="0" xfId="0" applyNumberFormat="1" applyFont="1"/>
    <xf numFmtId="0" fontId="15" fillId="0" borderId="0" xfId="0" applyFont="1" applyAlignment="1">
      <alignment horizontal="right"/>
    </xf>
    <xf numFmtId="14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164" fontId="14" fillId="0" borderId="0" xfId="1" applyNumberFormat="1" applyFont="1" applyFill="1"/>
    <xf numFmtId="164" fontId="14" fillId="0" borderId="0" xfId="0" applyNumberFormat="1" applyFont="1" applyFill="1"/>
    <xf numFmtId="0" fontId="17" fillId="0" borderId="0" xfId="0" applyFont="1"/>
    <xf numFmtId="166" fontId="14" fillId="0" borderId="0" xfId="2" applyNumberFormat="1" applyFont="1" applyFill="1"/>
    <xf numFmtId="166" fontId="14" fillId="0" borderId="0" xfId="0" applyNumberFormat="1" applyFont="1" applyFill="1"/>
    <xf numFmtId="164" fontId="14" fillId="0" borderId="0" xfId="1" applyNumberFormat="1" applyFont="1" applyFill="1" applyBorder="1"/>
    <xf numFmtId="37" fontId="14" fillId="0" borderId="0" xfId="2" applyNumberFormat="1" applyFont="1" applyFill="1" applyBorder="1"/>
    <xf numFmtId="37" fontId="14" fillId="0" borderId="3" xfId="2" applyNumberFormat="1" applyFont="1" applyFill="1" applyBorder="1"/>
    <xf numFmtId="166" fontId="14" fillId="0" borderId="3" xfId="2" applyNumberFormat="1" applyFont="1" applyFill="1" applyBorder="1"/>
    <xf numFmtId="164" fontId="14" fillId="0" borderId="0" xfId="0" applyNumberFormat="1" applyFont="1" applyFill="1" applyBorder="1"/>
    <xf numFmtId="0" fontId="15" fillId="0" borderId="0" xfId="0" applyFont="1" applyBorder="1"/>
    <xf numFmtId="0" fontId="15" fillId="0" borderId="3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6" fillId="0" borderId="0" xfId="0" applyFont="1"/>
    <xf numFmtId="166" fontId="14" fillId="0" borderId="0" xfId="2" applyNumberFormat="1" applyFont="1" applyFill="1" applyBorder="1"/>
    <xf numFmtId="41" fontId="14" fillId="0" borderId="0" xfId="0" applyNumberFormat="1" applyFont="1" applyFill="1"/>
    <xf numFmtId="164" fontId="14" fillId="0" borderId="0" xfId="0" applyNumberFormat="1" applyFont="1"/>
    <xf numFmtId="41" fontId="14" fillId="0" borderId="0" xfId="0" applyNumberFormat="1" applyFont="1" applyFill="1" applyBorder="1"/>
    <xf numFmtId="166" fontId="14" fillId="0" borderId="5" xfId="2" applyNumberFormat="1" applyFont="1" applyFill="1" applyBorder="1"/>
    <xf numFmtId="0" fontId="17" fillId="0" borderId="0" xfId="0" applyFont="1" applyBorder="1"/>
    <xf numFmtId="41" fontId="15" fillId="0" borderId="0" xfId="0" applyNumberFormat="1" applyFont="1" applyFill="1" applyBorder="1"/>
    <xf numFmtId="164" fontId="14" fillId="0" borderId="0" xfId="1" applyNumberFormat="1" applyFont="1" applyBorder="1"/>
    <xf numFmtId="49" fontId="15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1" fontId="15" fillId="0" borderId="6" xfId="0" applyNumberFormat="1" applyFont="1" applyFill="1" applyBorder="1"/>
    <xf numFmtId="49" fontId="15" fillId="0" borderId="0" xfId="0" applyNumberFormat="1" applyFont="1" applyFill="1"/>
    <xf numFmtId="41" fontId="15" fillId="0" borderId="0" xfId="0" applyNumberFormat="1" applyFont="1" applyFill="1"/>
    <xf numFmtId="41" fontId="15" fillId="0" borderId="0" xfId="0" quotePrefix="1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left"/>
    </xf>
    <xf numFmtId="0" fontId="14" fillId="0" borderId="0" xfId="0" applyFont="1" applyFill="1" applyAlignment="1"/>
    <xf numFmtId="0" fontId="16" fillId="0" borderId="0" xfId="0" applyFont="1" applyBorder="1"/>
    <xf numFmtId="166" fontId="14" fillId="0" borderId="4" xfId="2" applyNumberFormat="1" applyFont="1" applyBorder="1"/>
    <xf numFmtId="49" fontId="15" fillId="0" borderId="0" xfId="0" applyNumberFormat="1" applyFont="1" applyFill="1" applyAlignment="1">
      <alignment horizontal="left"/>
    </xf>
    <xf numFmtId="41" fontId="15" fillId="0" borderId="0" xfId="0" applyNumberFormat="1" applyFont="1" applyFill="1" applyAlignment="1">
      <alignment horizontal="left"/>
    </xf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15" fillId="0" borderId="0" xfId="0" applyFont="1" applyBorder="1" applyAlignment="1"/>
    <xf numFmtId="0" fontId="14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43" fontId="14" fillId="0" borderId="0" xfId="1" applyFont="1" applyFill="1"/>
    <xf numFmtId="166" fontId="14" fillId="0" borderId="0" xfId="0" applyNumberFormat="1" applyFont="1"/>
    <xf numFmtId="0" fontId="14" fillId="0" borderId="9" xfId="0" applyFont="1" applyBorder="1"/>
    <xf numFmtId="41" fontId="14" fillId="0" borderId="9" xfId="0" applyNumberFormat="1" applyFont="1" applyBorder="1"/>
    <xf numFmtId="166" fontId="14" fillId="0" borderId="10" xfId="0" applyNumberFormat="1" applyFont="1" applyBorder="1"/>
    <xf numFmtId="166" fontId="14" fillId="0" borderId="12" xfId="0" applyNumberFormat="1" applyFont="1" applyBorder="1"/>
    <xf numFmtId="0" fontId="14" fillId="0" borderId="7" xfId="0" applyFont="1" applyBorder="1"/>
    <xf numFmtId="166" fontId="14" fillId="0" borderId="14" xfId="0" applyNumberFormat="1" applyFont="1" applyBorder="1"/>
    <xf numFmtId="1" fontId="14" fillId="0" borderId="0" xfId="0" quotePrefix="1" applyNumberFormat="1" applyFont="1" applyAlignment="1">
      <alignment horizontal="center"/>
    </xf>
    <xf numFmtId="16" fontId="14" fillId="0" borderId="0" xfId="0" quotePrefix="1" applyNumberFormat="1" applyFont="1" applyAlignment="1">
      <alignment horizontal="center"/>
    </xf>
    <xf numFmtId="166" fontId="14" fillId="0" borderId="0" xfId="0" applyNumberFormat="1" applyFont="1" applyBorder="1"/>
    <xf numFmtId="166" fontId="14" fillId="0" borderId="0" xfId="0" applyNumberFormat="1" applyFont="1" applyFill="1" applyBorder="1"/>
    <xf numFmtId="0" fontId="14" fillId="0" borderId="0" xfId="0" applyFont="1"/>
    <xf numFmtId="41" fontId="14" fillId="0" borderId="0" xfId="2" applyNumberFormat="1" applyFont="1" applyFill="1"/>
    <xf numFmtId="41" fontId="14" fillId="0" borderId="3" xfId="2" applyNumberFormat="1" applyFont="1" applyFill="1" applyBorder="1"/>
    <xf numFmtId="43" fontId="14" fillId="0" borderId="0" xfId="1" applyFont="1" applyBorder="1"/>
    <xf numFmtId="43" fontId="14" fillId="0" borderId="0" xfId="0" applyNumberFormat="1" applyFont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43" fontId="14" fillId="0" borderId="0" xfId="1" applyFont="1" applyFill="1" applyBorder="1"/>
    <xf numFmtId="41" fontId="14" fillId="0" borderId="0" xfId="2" applyNumberFormat="1" applyFont="1" applyFill="1" applyBorder="1"/>
    <xf numFmtId="0" fontId="14" fillId="0" borderId="0" xfId="0" applyFont="1" applyBorder="1" applyAlignment="1">
      <alignment wrapText="1"/>
    </xf>
    <xf numFmtId="0" fontId="14" fillId="0" borderId="0" xfId="0" applyFont="1" applyFill="1" applyBorder="1" applyAlignment="1">
      <alignment wrapText="1"/>
    </xf>
    <xf numFmtId="41" fontId="14" fillId="0" borderId="6" xfId="2" applyNumberFormat="1" applyFont="1" applyFill="1" applyBorder="1"/>
    <xf numFmtId="0" fontId="14" fillId="0" borderId="3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14" fontId="14" fillId="0" borderId="0" xfId="0" applyNumberFormat="1" applyFont="1" applyFill="1" applyBorder="1" applyAlignment="1">
      <alignment horizontal="center" wrapText="1"/>
    </xf>
    <xf numFmtId="0" fontId="17" fillId="0" borderId="0" xfId="0" applyFont="1" applyFill="1" applyBorder="1"/>
    <xf numFmtId="43" fontId="14" fillId="0" borderId="0" xfId="0" applyNumberFormat="1" applyFont="1" applyFill="1" applyBorder="1"/>
    <xf numFmtId="49" fontId="15" fillId="0" borderId="0" xfId="0" applyNumberFormat="1" applyFont="1" applyFill="1" applyAlignment="1">
      <alignment wrapText="1"/>
    </xf>
    <xf numFmtId="49" fontId="15" fillId="0" borderId="0" xfId="0" applyNumberFormat="1" applyFont="1" applyFill="1" applyAlignment="1">
      <alignment horizontal="center" wrapText="1"/>
    </xf>
    <xf numFmtId="41" fontId="15" fillId="0" borderId="0" xfId="0" applyNumberFormat="1" applyFont="1" applyFill="1" applyBorder="1" applyAlignment="1"/>
    <xf numFmtId="0" fontId="15" fillId="0" borderId="0" xfId="0" applyFont="1" applyFill="1" applyAlignment="1">
      <alignment wrapText="1"/>
    </xf>
    <xf numFmtId="0" fontId="15" fillId="0" borderId="0" xfId="0" applyFont="1" applyFill="1" applyAlignment="1"/>
    <xf numFmtId="0" fontId="15" fillId="0" borderId="0" xfId="0" applyFont="1" applyFill="1" applyAlignment="1">
      <alignment horizontal="left"/>
    </xf>
    <xf numFmtId="0" fontId="15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Border="1"/>
    <xf numFmtId="0" fontId="18" fillId="0" borderId="0" xfId="0" applyFont="1"/>
    <xf numFmtId="49" fontId="15" fillId="0" borderId="6" xfId="0" applyNumberFormat="1" applyFont="1" applyFill="1" applyBorder="1"/>
    <xf numFmtId="0" fontId="18" fillId="0" borderId="0" xfId="0" applyFont="1" applyBorder="1" applyAlignment="1">
      <alignment horizontal="right"/>
    </xf>
    <xf numFmtId="0" fontId="15" fillId="0" borderId="0" xfId="41" applyFont="1" applyFill="1"/>
    <xf numFmtId="0" fontId="17" fillId="0" borderId="0" xfId="0" applyFont="1" applyFill="1"/>
    <xf numFmtId="164" fontId="14" fillId="0" borderId="0" xfId="1" applyNumberFormat="1" applyFont="1"/>
    <xf numFmtId="164" fontId="15" fillId="0" borderId="0" xfId="1" applyNumberFormat="1" applyFont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4" fontId="14" fillId="0" borderId="3" xfId="0" applyNumberFormat="1" applyFont="1" applyFill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6" xfId="0" applyFont="1" applyFill="1" applyBorder="1" applyAlignment="1">
      <alignment horizontal="center"/>
    </xf>
    <xf numFmtId="41" fontId="15" fillId="0" borderId="6" xfId="0" applyNumberFormat="1" applyFont="1" applyFill="1" applyBorder="1" applyAlignment="1">
      <alignment horizontal="center"/>
    </xf>
    <xf numFmtId="41" fontId="15" fillId="0" borderId="4" xfId="0" applyNumberFormat="1" applyFont="1" applyFill="1" applyBorder="1"/>
    <xf numFmtId="41" fontId="15" fillId="0" borderId="7" xfId="0" applyNumberFormat="1" applyFont="1" applyFill="1" applyBorder="1"/>
    <xf numFmtId="0" fontId="14" fillId="0" borderId="0" xfId="41" applyFont="1" applyFill="1"/>
    <xf numFmtId="0" fontId="16" fillId="0" borderId="0" xfId="41" applyFont="1" applyAlignment="1">
      <alignment horizontal="center"/>
    </xf>
    <xf numFmtId="0" fontId="16" fillId="0" borderId="0" xfId="41" applyFont="1" applyAlignment="1"/>
    <xf numFmtId="0" fontId="15" fillId="0" borderId="0" xfId="41" applyFont="1" applyAlignment="1">
      <alignment horizontal="center"/>
    </xf>
    <xf numFmtId="0" fontId="15" fillId="0" borderId="0" xfId="41" applyFont="1" applyAlignment="1"/>
    <xf numFmtId="0" fontId="15" fillId="0" borderId="0" xfId="0" applyFont="1" applyFill="1" applyAlignment="1">
      <alignment horizontal="right"/>
    </xf>
    <xf numFmtId="15" fontId="15" fillId="0" borderId="0" xfId="0" quotePrefix="1" applyNumberFormat="1" applyFont="1" applyFill="1"/>
    <xf numFmtId="0" fontId="20" fillId="0" borderId="0" xfId="0" applyFont="1" applyFill="1"/>
    <xf numFmtId="169" fontId="14" fillId="0" borderId="0" xfId="46" applyNumberFormat="1" applyFont="1" applyFill="1" applyBorder="1"/>
    <xf numFmtId="10" fontId="14" fillId="0" borderId="0" xfId="46" applyNumberFormat="1" applyFont="1" applyFill="1" applyBorder="1"/>
    <xf numFmtId="49" fontId="15" fillId="0" borderId="0" xfId="0" applyNumberFormat="1" applyFont="1" applyFill="1" applyBorder="1"/>
    <xf numFmtId="41" fontId="14" fillId="0" borderId="3" xfId="0" applyNumberFormat="1" applyFont="1" applyFill="1" applyBorder="1"/>
    <xf numFmtId="0" fontId="18" fillId="0" borderId="0" xfId="0" applyFont="1" applyFill="1" applyAlignment="1">
      <alignment wrapText="1"/>
    </xf>
    <xf numFmtId="0" fontId="15" fillId="0" borderId="0" xfId="0" applyFont="1" applyFill="1" applyBorder="1"/>
    <xf numFmtId="49" fontId="14" fillId="0" borderId="8" xfId="0" applyNumberFormat="1" applyFont="1" applyFill="1" applyBorder="1"/>
    <xf numFmtId="49" fontId="14" fillId="0" borderId="11" xfId="0" applyNumberFormat="1" applyFont="1" applyFill="1" applyBorder="1"/>
    <xf numFmtId="49" fontId="14" fillId="0" borderId="13" xfId="0" applyNumberFormat="1" applyFont="1" applyFill="1" applyBorder="1"/>
    <xf numFmtId="0" fontId="14" fillId="0" borderId="0" xfId="0" applyFont="1" applyAlignment="1">
      <alignment horizontal="right"/>
    </xf>
    <xf numFmtId="0" fontId="15" fillId="0" borderId="0" xfId="0" applyFont="1" applyFill="1" applyAlignment="1">
      <alignment horizontal="center"/>
    </xf>
    <xf numFmtId="0" fontId="14" fillId="0" borderId="0" xfId="52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 wrapText="1"/>
    </xf>
    <xf numFmtId="0" fontId="15" fillId="0" borderId="0" xfId="0" applyFont="1" applyFill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1" fontId="15" fillId="0" borderId="0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/>
    <xf numFmtId="0" fontId="15" fillId="0" borderId="0" xfId="0" applyFont="1" applyFill="1" applyBorder="1" applyAlignment="1"/>
    <xf numFmtId="49" fontId="15" fillId="0" borderId="0" xfId="0" applyNumberFormat="1" applyFont="1" applyFill="1" applyAlignment="1"/>
    <xf numFmtId="0" fontId="21" fillId="0" borderId="0" xfId="0" applyFont="1"/>
    <xf numFmtId="0" fontId="18" fillId="0" borderId="0" xfId="0" applyFont="1" applyFill="1" applyAlignment="1"/>
    <xf numFmtId="170" fontId="14" fillId="0" borderId="0" xfId="0" applyNumberFormat="1" applyFont="1"/>
    <xf numFmtId="0" fontId="22" fillId="0" borderId="0" xfId="0" applyFont="1"/>
    <xf numFmtId="0" fontId="15" fillId="0" borderId="0" xfId="0" applyFont="1" applyFill="1" applyAlignment="1">
      <alignment horizontal="center"/>
    </xf>
    <xf numFmtId="171" fontId="15" fillId="0" borderId="0" xfId="0" applyNumberFormat="1" applyFont="1" applyFill="1" applyBorder="1" applyAlignment="1"/>
    <xf numFmtId="171" fontId="15" fillId="0" borderId="0" xfId="0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Fill="1" applyAlignment="1">
      <alignment horizontal="left" indent="1"/>
    </xf>
    <xf numFmtId="41" fontId="15" fillId="0" borderId="3" xfId="0" applyNumberFormat="1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164" fontId="15" fillId="0" borderId="0" xfId="1" applyNumberFormat="1" applyFont="1" applyFill="1"/>
    <xf numFmtId="41" fontId="15" fillId="0" borderId="3" xfId="0" applyNumberFormat="1" applyFont="1" applyFill="1" applyBorder="1"/>
    <xf numFmtId="0" fontId="14" fillId="0" borderId="0" xfId="48" applyFont="1" applyFill="1" applyBorder="1" applyAlignment="1"/>
    <xf numFmtId="0" fontId="14" fillId="0" borderId="0" xfId="48" applyFont="1" applyFill="1" applyAlignment="1"/>
    <xf numFmtId="0" fontId="14" fillId="0" borderId="0" xfId="45" applyFont="1" applyFill="1"/>
    <xf numFmtId="0" fontId="14" fillId="0" borderId="0" xfId="48" applyFont="1" applyFill="1" applyAlignment="1">
      <alignment horizontal="center"/>
    </xf>
    <xf numFmtId="0" fontId="14" fillId="0" borderId="0" xfId="48" applyFont="1" applyFill="1" applyBorder="1" applyAlignment="1">
      <alignment horizontal="center"/>
    </xf>
    <xf numFmtId="0" fontId="14" fillId="0" borderId="0" xfId="45" applyFont="1" applyFill="1" applyAlignment="1">
      <alignment horizontal="center"/>
    </xf>
    <xf numFmtId="0" fontId="14" fillId="0" borderId="0" xfId="45" applyFont="1" applyFill="1" applyBorder="1"/>
    <xf numFmtId="165" fontId="14" fillId="0" borderId="3" xfId="49" applyFont="1" applyFill="1" applyBorder="1" applyAlignment="1">
      <alignment horizontal="center"/>
    </xf>
    <xf numFmtId="165" fontId="14" fillId="0" borderId="0" xfId="49" applyFont="1" applyFill="1" applyBorder="1" applyAlignment="1">
      <alignment horizontal="center"/>
    </xf>
    <xf numFmtId="0" fontId="14" fillId="0" borderId="3" xfId="48" applyFont="1" applyFill="1" applyBorder="1" applyAlignment="1">
      <alignment horizontal="center"/>
    </xf>
    <xf numFmtId="165" fontId="16" fillId="0" borderId="0" xfId="49" applyFont="1" applyFill="1" applyBorder="1" applyAlignment="1">
      <alignment horizontal="center"/>
    </xf>
    <xf numFmtId="167" fontId="14" fillId="0" borderId="0" xfId="49" quotePrefix="1" applyNumberFormat="1" applyFont="1" applyFill="1" applyAlignment="1">
      <alignment horizontal="left"/>
    </xf>
    <xf numFmtId="167" fontId="14" fillId="0" borderId="0" xfId="49" quotePrefix="1" applyNumberFormat="1" applyFont="1" applyFill="1" applyBorder="1" applyAlignment="1">
      <alignment horizontal="left"/>
    </xf>
    <xf numFmtId="168" fontId="14" fillId="0" borderId="0" xfId="50" applyNumberFormat="1" applyFont="1" applyFill="1" applyBorder="1" applyAlignment="1">
      <alignment horizontal="center"/>
    </xf>
    <xf numFmtId="167" fontId="15" fillId="0" borderId="0" xfId="49" quotePrefix="1" applyNumberFormat="1" applyFont="1" applyFill="1" applyBorder="1" applyAlignment="1">
      <alignment horizontal="right"/>
    </xf>
    <xf numFmtId="164" fontId="14" fillId="0" borderId="0" xfId="47" applyNumberFormat="1" applyFont="1" applyFill="1"/>
    <xf numFmtId="164" fontId="14" fillId="0" borderId="0" xfId="48" applyNumberFormat="1" applyFont="1" applyFill="1"/>
    <xf numFmtId="0" fontId="14" fillId="0" borderId="0" xfId="48" applyFont="1" applyFill="1" applyAlignment="1">
      <alignment horizontal="left"/>
    </xf>
    <xf numFmtId="0" fontId="14" fillId="0" borderId="0" xfId="48" applyFont="1" applyFill="1" applyBorder="1" applyAlignment="1">
      <alignment horizontal="left"/>
    </xf>
    <xf numFmtId="41" fontId="14" fillId="0" borderId="5" xfId="48" applyNumberFormat="1" applyFont="1" applyFill="1" applyBorder="1"/>
    <xf numFmtId="41" fontId="14" fillId="0" borderId="0" xfId="48" applyNumberFormat="1" applyFont="1" applyFill="1"/>
    <xf numFmtId="44" fontId="14" fillId="0" borderId="0" xfId="0" applyNumberFormat="1" applyFont="1"/>
    <xf numFmtId="172" fontId="1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48" applyFont="1" applyFill="1" applyAlignment="1">
      <alignment horizontal="center"/>
    </xf>
    <xf numFmtId="41" fontId="15" fillId="0" borderId="0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</cellXfs>
  <cellStyles count="58">
    <cellStyle name="Comma" xfId="1" builtinId="3"/>
    <cellStyle name="Comma 2" xfId="43" xr:uid="{00000000-0005-0000-0000-000001000000}"/>
    <cellStyle name="Comma 3" xfId="47" xr:uid="{00000000-0005-0000-0000-000002000000}"/>
    <cellStyle name="Comma 3 2" xfId="56" xr:uid="{00000000-0005-0000-0000-000003000000}"/>
    <cellStyle name="Currency" xfId="2" builtinId="4"/>
    <cellStyle name="Currency 2" xfId="44" xr:uid="{00000000-0005-0000-0000-000005000000}"/>
    <cellStyle name="Currency 3" xfId="51" xr:uid="{00000000-0005-0000-0000-000006000000}"/>
    <cellStyle name="Currency 3 2" xfId="57" xr:uid="{00000000-0005-0000-0000-000007000000}"/>
    <cellStyle name="Normal" xfId="0" builtinId="0"/>
    <cellStyle name="Normal 2" xfId="41" xr:uid="{00000000-0005-0000-0000-000009000000}"/>
    <cellStyle name="Normal 2 2" xfId="48" xr:uid="{00000000-0005-0000-0000-00000A000000}"/>
    <cellStyle name="Normal 2 2 2" xfId="52" xr:uid="{00000000-0005-0000-0000-00000B000000}"/>
    <cellStyle name="Normal 3" xfId="45" xr:uid="{00000000-0005-0000-0000-00000C000000}"/>
    <cellStyle name="Normal 3 2" xfId="55" xr:uid="{00000000-0005-0000-0000-00000D000000}"/>
    <cellStyle name="Normal_CL&amp;P &amp; WMECO 2005 Revenue Budget" xfId="49" xr:uid="{00000000-0005-0000-0000-00000E000000}"/>
    <cellStyle name="Normal_LF-002" xfId="50" xr:uid="{00000000-0005-0000-0000-00000F000000}"/>
    <cellStyle name="Percent 2" xfId="46" xr:uid="{00000000-0005-0000-0000-000010000000}"/>
    <cellStyle name="Percent 3" xfId="42" xr:uid="{00000000-0005-0000-0000-000011000000}"/>
    <cellStyle name="SAPBEXaggData" xfId="3" xr:uid="{00000000-0005-0000-0000-000012000000}"/>
    <cellStyle name="SAPBEXaggDataEmph" xfId="4" xr:uid="{00000000-0005-0000-0000-000013000000}"/>
    <cellStyle name="SAPBEXaggItem" xfId="5" xr:uid="{00000000-0005-0000-0000-000014000000}"/>
    <cellStyle name="SAPBEXaggItemX" xfId="6" xr:uid="{00000000-0005-0000-0000-000015000000}"/>
    <cellStyle name="SAPBEXchaText" xfId="7" xr:uid="{00000000-0005-0000-0000-000016000000}"/>
    <cellStyle name="SAPBEXexcBad7" xfId="8" xr:uid="{00000000-0005-0000-0000-000017000000}"/>
    <cellStyle name="SAPBEXexcBad8" xfId="9" xr:uid="{00000000-0005-0000-0000-000018000000}"/>
    <cellStyle name="SAPBEXexcBad9" xfId="10" xr:uid="{00000000-0005-0000-0000-000019000000}"/>
    <cellStyle name="SAPBEXexcCritical4" xfId="11" xr:uid="{00000000-0005-0000-0000-00001A000000}"/>
    <cellStyle name="SAPBEXexcCritical5" xfId="12" xr:uid="{00000000-0005-0000-0000-00001B000000}"/>
    <cellStyle name="SAPBEXexcCritical6" xfId="13" xr:uid="{00000000-0005-0000-0000-00001C000000}"/>
    <cellStyle name="SAPBEXexcGood1" xfId="14" xr:uid="{00000000-0005-0000-0000-00001D000000}"/>
    <cellStyle name="SAPBEXexcGood2" xfId="15" xr:uid="{00000000-0005-0000-0000-00001E000000}"/>
    <cellStyle name="SAPBEXexcGood3" xfId="16" xr:uid="{00000000-0005-0000-0000-00001F000000}"/>
    <cellStyle name="SAPBEXfilterDrill" xfId="17" xr:uid="{00000000-0005-0000-0000-000020000000}"/>
    <cellStyle name="SAPBEXfilterItem" xfId="18" xr:uid="{00000000-0005-0000-0000-000021000000}"/>
    <cellStyle name="SAPBEXfilterText" xfId="19" xr:uid="{00000000-0005-0000-0000-000022000000}"/>
    <cellStyle name="SAPBEXformats" xfId="20" xr:uid="{00000000-0005-0000-0000-000023000000}"/>
    <cellStyle name="SAPBEXheaderItem" xfId="21" xr:uid="{00000000-0005-0000-0000-000024000000}"/>
    <cellStyle name="SAPBEXheaderItem 2" xfId="53" xr:uid="{00000000-0005-0000-0000-000025000000}"/>
    <cellStyle name="SAPBEXheaderText" xfId="22" xr:uid="{00000000-0005-0000-0000-000026000000}"/>
    <cellStyle name="SAPBEXheaderText 2" xfId="54" xr:uid="{00000000-0005-0000-0000-000027000000}"/>
    <cellStyle name="SAPBEXHLevel0" xfId="23" xr:uid="{00000000-0005-0000-0000-000028000000}"/>
    <cellStyle name="SAPBEXHLevel0X" xfId="24" xr:uid="{00000000-0005-0000-0000-000029000000}"/>
    <cellStyle name="SAPBEXHLevel1" xfId="25" xr:uid="{00000000-0005-0000-0000-00002A000000}"/>
    <cellStyle name="SAPBEXHLevel1X" xfId="26" xr:uid="{00000000-0005-0000-0000-00002B000000}"/>
    <cellStyle name="SAPBEXHLevel2" xfId="27" xr:uid="{00000000-0005-0000-0000-00002C000000}"/>
    <cellStyle name="SAPBEXHLevel2X" xfId="28" xr:uid="{00000000-0005-0000-0000-00002D000000}"/>
    <cellStyle name="SAPBEXHLevel3" xfId="29" xr:uid="{00000000-0005-0000-0000-00002E000000}"/>
    <cellStyle name="SAPBEXHLevel3X" xfId="30" xr:uid="{00000000-0005-0000-0000-00002F000000}"/>
    <cellStyle name="SAPBEXresData" xfId="31" xr:uid="{00000000-0005-0000-0000-000030000000}"/>
    <cellStyle name="SAPBEXresDataEmph" xfId="32" xr:uid="{00000000-0005-0000-0000-000031000000}"/>
    <cellStyle name="SAPBEXresItem" xfId="33" xr:uid="{00000000-0005-0000-0000-000032000000}"/>
    <cellStyle name="SAPBEXresItemX" xfId="34" xr:uid="{00000000-0005-0000-0000-000033000000}"/>
    <cellStyle name="SAPBEXstdData" xfId="35" xr:uid="{00000000-0005-0000-0000-000034000000}"/>
    <cellStyle name="SAPBEXstdDataEmph" xfId="36" xr:uid="{00000000-0005-0000-0000-000035000000}"/>
    <cellStyle name="SAPBEXstdItem" xfId="37" xr:uid="{00000000-0005-0000-0000-000036000000}"/>
    <cellStyle name="SAPBEXstdItemX" xfId="38" xr:uid="{00000000-0005-0000-0000-000037000000}"/>
    <cellStyle name="SAPBEXtitle" xfId="39" xr:uid="{00000000-0005-0000-0000-000038000000}"/>
    <cellStyle name="SAPBEXundefined" xfId="40" xr:uid="{00000000-0005-0000-0000-000039000000}"/>
  </cellStyles>
  <dxfs count="0"/>
  <tableStyles count="0" defaultTableStyle="TableStyleMedium2" defaultPivotStyle="PivotStyleLight16"/>
  <colors>
    <mruColors>
      <color rgb="FF0000FF"/>
      <color rgb="FFF9F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42</xdr:row>
      <xdr:rowOff>130968</xdr:rowOff>
    </xdr:from>
    <xdr:to>
      <xdr:col>13</xdr:col>
      <xdr:colOff>726281</xdr:colOff>
      <xdr:row>48</xdr:row>
      <xdr:rowOff>130968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14B8A87-216D-4529-9039-7E97575D6867}"/>
            </a:ext>
          </a:extLst>
        </xdr:cNvPr>
        <xdr:cNvCxnSpPr/>
      </xdr:nvCxnSpPr>
      <xdr:spPr bwMode="auto">
        <a:xfrm>
          <a:off x="6715125" y="6203156"/>
          <a:ext cx="2762250" cy="1000125"/>
        </a:xfrm>
        <a:prstGeom prst="straightConnector1">
          <a:avLst/>
        </a:prstGeom>
        <a:gradFill rotWithShape="0">
          <a:gsLst>
            <a:gs pos="0">
              <a:srgbClr val="FFE701"/>
            </a:gs>
            <a:gs pos="100000">
              <a:srgbClr val="FE3E02"/>
            </a:gs>
          </a:gsLst>
          <a:lin ang="5400000" scaled="1"/>
        </a:gra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  <a:scene3d>
          <a:camera prst="legacyPerspectiveFront">
            <a:rot lat="20519999" lon="1080000" rev="0"/>
          </a:camera>
          <a:lightRig rig="legacyHarsh2" dir="b"/>
        </a:scene3d>
        <a:sp3d extrusionH="430200" prstMaterial="legacyMatte">
          <a:bevelT w="13500" h="13500" prst="angle"/>
          <a:bevelB w="13500" h="13500" prst="angle"/>
          <a:extrusionClr>
            <a:srgbClr val="FF6600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1107281</xdr:colOff>
      <xdr:row>39</xdr:row>
      <xdr:rowOff>103567</xdr:rowOff>
    </xdr:from>
    <xdr:to>
      <xdr:col>15</xdr:col>
      <xdr:colOff>464351</xdr:colOff>
      <xdr:row>47</xdr:row>
      <xdr:rowOff>162815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45EB3C69-23A8-4CF3-B3DA-5325861D72BE}"/>
            </a:ext>
          </a:extLst>
        </xdr:cNvPr>
        <xdr:cNvSpPr/>
      </xdr:nvSpPr>
      <xdr:spPr bwMode="auto">
        <a:xfrm>
          <a:off x="5691187" y="5675692"/>
          <a:ext cx="4488664" cy="1392748"/>
        </a:xfrm>
        <a:custGeom>
          <a:avLst/>
          <a:gdLst>
            <a:gd name="connsiteX0" fmla="*/ 0 w 4488664"/>
            <a:gd name="connsiteY0" fmla="*/ 420308 h 1392748"/>
            <a:gd name="connsiteX1" fmla="*/ 2095500 w 4488664"/>
            <a:gd name="connsiteY1" fmla="*/ 372683 h 1392748"/>
            <a:gd name="connsiteX2" fmla="*/ 4488657 w 4488664"/>
            <a:gd name="connsiteY2" fmla="*/ 563183 h 1392748"/>
            <a:gd name="connsiteX3" fmla="*/ 2071688 w 4488664"/>
            <a:gd name="connsiteY3" fmla="*/ 1384714 h 1392748"/>
            <a:gd name="connsiteX4" fmla="*/ 2928938 w 4488664"/>
            <a:gd name="connsiteY4" fmla="*/ 3589 h 1392748"/>
            <a:gd name="connsiteX5" fmla="*/ 2928938 w 4488664"/>
            <a:gd name="connsiteY5" fmla="*/ 967995 h 1392748"/>
            <a:gd name="connsiteX6" fmla="*/ 4012407 w 4488664"/>
            <a:gd name="connsiteY6" fmla="*/ 444120 h 1392748"/>
            <a:gd name="connsiteX7" fmla="*/ 3905250 w 4488664"/>
            <a:gd name="connsiteY7" fmla="*/ 217902 h 13927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4488664" h="1392748">
              <a:moveTo>
                <a:pt x="0" y="420308"/>
              </a:moveTo>
              <a:cubicBezTo>
                <a:pt x="673695" y="384589"/>
                <a:pt x="1347391" y="348871"/>
                <a:pt x="2095500" y="372683"/>
              </a:cubicBezTo>
              <a:cubicBezTo>
                <a:pt x="2843609" y="396495"/>
                <a:pt x="4492626" y="394511"/>
                <a:pt x="4488657" y="563183"/>
              </a:cubicBezTo>
              <a:cubicBezTo>
                <a:pt x="4484688" y="731855"/>
                <a:pt x="2331641" y="1477980"/>
                <a:pt x="2071688" y="1384714"/>
              </a:cubicBezTo>
              <a:cubicBezTo>
                <a:pt x="1811735" y="1291448"/>
                <a:pt x="2786063" y="73042"/>
                <a:pt x="2928938" y="3589"/>
              </a:cubicBezTo>
              <a:cubicBezTo>
                <a:pt x="3071813" y="-65864"/>
                <a:pt x="2748360" y="894573"/>
                <a:pt x="2928938" y="967995"/>
              </a:cubicBezTo>
              <a:cubicBezTo>
                <a:pt x="3109516" y="1041417"/>
                <a:pt x="3849688" y="569135"/>
                <a:pt x="4012407" y="444120"/>
              </a:cubicBezTo>
              <a:cubicBezTo>
                <a:pt x="4175126" y="319105"/>
                <a:pt x="4040188" y="268503"/>
                <a:pt x="3905250" y="217902"/>
              </a:cubicBezTo>
            </a:path>
          </a:pathLst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20519999" lon="1080000" rev="0"/>
          </a:camera>
          <a:lightRig rig="legacyHarsh2" dir="b"/>
        </a:scene3d>
        <a:sp3d extrusionH="430200" prstMaterial="legacyMatte">
          <a:bevelT w="13500" h="13500" prst="angle"/>
          <a:bevelB w="13500" h="13500" prst="angle"/>
          <a:extrusionClr>
            <a:srgbClr val="FF6600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MA%201-1-98%20Filing\WME95W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COSS\2004CostofService\Rate_Case_Present_Proposed_2007_Rat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COSS\2004CostofService\Final%20Decision\Rate_Case_Present_Proposed_2007_Rat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illing_SEI\Pcbillss_SELECT\1998SEL\98dec\bil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EB23D7\Bud06TAB%20PSNH%20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COSS\2004CostofService\Final%20Decision\EL-297%20for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C_sched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A"/>
      <sheetName val="C"/>
      <sheetName val="D"/>
      <sheetName val="E"/>
      <sheetName val="F"/>
    </sheetNames>
    <sheetDataSet>
      <sheetData sheetId="0" refreshError="1">
        <row r="501">
          <cell r="L501">
            <v>2460.11</v>
          </cell>
        </row>
        <row r="730">
          <cell r="M730">
            <v>13</v>
          </cell>
        </row>
        <row r="800">
          <cell r="M800">
            <v>13</v>
          </cell>
        </row>
        <row r="977">
          <cell r="K977">
            <v>370</v>
          </cell>
        </row>
      </sheetData>
      <sheetData sheetId="1">
        <row r="501">
          <cell r="L501">
            <v>2460.11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RT"/>
      <sheetName val="GS"/>
      <sheetName val="GST"/>
      <sheetName val="LPT"/>
      <sheetName val="M"/>
      <sheetName val="U"/>
      <sheetName val="NUS"/>
      <sheetName val="GS_SPC"/>
      <sheetName val="GST_SPC"/>
      <sheetName val="LPT_SPC"/>
      <sheetName val="SPC All Exempts"/>
      <sheetName val="Summary"/>
      <sheetName val="SPC Exempt"/>
      <sheetName val="CTA calcs"/>
      <sheetName val="summ_A_RT_06"/>
      <sheetName val="SPC Sikorsky Main Plant"/>
      <sheetName val="TE migration into GS"/>
      <sheetName val="TE present"/>
      <sheetName val="TE"/>
      <sheetName val="TE_S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>
            <v>2007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RT"/>
      <sheetName val="GS"/>
      <sheetName val="GST"/>
      <sheetName val="LPT"/>
      <sheetName val="M"/>
      <sheetName val="U"/>
      <sheetName val="NUS"/>
      <sheetName val="GS_SPC"/>
      <sheetName val="GST_SPC"/>
      <sheetName val="LPT_SPC"/>
      <sheetName val="SPC All Exempts"/>
      <sheetName val="Summary"/>
      <sheetName val="CTA calcs"/>
      <sheetName val="summ_A_RT_06"/>
      <sheetName val="TE migration into GS"/>
      <sheetName val="TE present"/>
      <sheetName val="SPC Exempt"/>
      <sheetName val="SPC Sikorsky Main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>
            <v>2007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_tables"/>
    </sheetNames>
    <sheetDataSet>
      <sheetData sheetId="0" refreshError="1">
        <row r="12">
          <cell r="A12">
            <v>2</v>
          </cell>
          <cell r="B12">
            <v>262002034</v>
          </cell>
          <cell r="C12" t="str">
            <v>ss</v>
          </cell>
          <cell r="D12" t="str">
            <v>b</v>
          </cell>
          <cell r="E12">
            <v>1</v>
          </cell>
          <cell r="F12" t="str">
            <v>447.80</v>
          </cell>
          <cell r="G12" t="str">
            <v>447.20</v>
          </cell>
          <cell r="H12" t="str">
            <v>447.TO</v>
          </cell>
          <cell r="I12" t="str">
            <v>565.20</v>
          </cell>
          <cell r="J12">
            <v>456.52</v>
          </cell>
          <cell r="K12">
            <v>2</v>
          </cell>
          <cell r="L12" t="str">
            <v>447.TR</v>
          </cell>
        </row>
        <row r="13">
          <cell r="A13">
            <v>3</v>
          </cell>
          <cell r="B13">
            <v>262002018</v>
          </cell>
          <cell r="C13" t="str">
            <v>ss</v>
          </cell>
          <cell r="D13" t="str">
            <v>b</v>
          </cell>
          <cell r="E13">
            <v>1</v>
          </cell>
          <cell r="F13">
            <v>447.92</v>
          </cell>
          <cell r="G13">
            <v>447.32</v>
          </cell>
          <cell r="H13" t="str">
            <v>447.TK</v>
          </cell>
          <cell r="I13" t="str">
            <v>565.32</v>
          </cell>
          <cell r="J13">
            <v>456.52</v>
          </cell>
          <cell r="K13">
            <v>3</v>
          </cell>
          <cell r="L13" t="str">
            <v>447.TR</v>
          </cell>
        </row>
        <row r="14">
          <cell r="A14">
            <v>4</v>
          </cell>
          <cell r="B14">
            <v>262002050</v>
          </cell>
          <cell r="C14" t="str">
            <v>ss</v>
          </cell>
          <cell r="D14" t="str">
            <v>b</v>
          </cell>
          <cell r="E14">
            <v>1</v>
          </cell>
          <cell r="F14">
            <v>447.96</v>
          </cell>
          <cell r="G14">
            <v>447.36</v>
          </cell>
          <cell r="H14" t="str">
            <v>447.TO</v>
          </cell>
          <cell r="I14" t="str">
            <v>565.20</v>
          </cell>
          <cell r="J14">
            <v>456.52</v>
          </cell>
          <cell r="K14">
            <v>4</v>
          </cell>
          <cell r="L14" t="str">
            <v>447.TR</v>
          </cell>
        </row>
        <row r="15">
          <cell r="A15">
            <v>6</v>
          </cell>
          <cell r="B15">
            <v>262002068</v>
          </cell>
          <cell r="C15" t="str">
            <v>ss</v>
          </cell>
          <cell r="D15" t="str">
            <v>b</v>
          </cell>
          <cell r="E15">
            <v>1</v>
          </cell>
          <cell r="F15" t="str">
            <v>447.8F</v>
          </cell>
          <cell r="G15" t="str">
            <v>447.5F</v>
          </cell>
          <cell r="H15" t="str">
            <v>447.TO</v>
          </cell>
          <cell r="I15" t="str">
            <v>565.20</v>
          </cell>
          <cell r="J15">
            <v>456.52</v>
          </cell>
          <cell r="K15">
            <v>6</v>
          </cell>
          <cell r="L15" t="str">
            <v>447.TR</v>
          </cell>
        </row>
        <row r="16">
          <cell r="A16">
            <v>10</v>
          </cell>
          <cell r="B16">
            <v>262002076</v>
          </cell>
          <cell r="C16" t="str">
            <v>ss</v>
          </cell>
          <cell r="D16" t="str">
            <v>b</v>
          </cell>
          <cell r="E16">
            <v>1</v>
          </cell>
          <cell r="F16">
            <v>447.96</v>
          </cell>
          <cell r="G16">
            <v>447.36</v>
          </cell>
          <cell r="H16" t="str">
            <v>447.TO</v>
          </cell>
          <cell r="I16" t="str">
            <v>565.20</v>
          </cell>
          <cell r="J16">
            <v>456.52</v>
          </cell>
          <cell r="K16">
            <v>10</v>
          </cell>
          <cell r="L16" t="str">
            <v>447.TR</v>
          </cell>
        </row>
        <row r="17">
          <cell r="A17">
            <v>11</v>
          </cell>
          <cell r="B17">
            <v>262002084</v>
          </cell>
          <cell r="C17" t="str">
            <v>ss</v>
          </cell>
          <cell r="D17" t="str">
            <v>b</v>
          </cell>
          <cell r="E17">
            <v>1</v>
          </cell>
          <cell r="F17">
            <v>447.96</v>
          </cell>
          <cell r="G17">
            <v>447.36</v>
          </cell>
          <cell r="H17" t="str">
            <v>447.TO</v>
          </cell>
          <cell r="I17" t="str">
            <v>565.20</v>
          </cell>
          <cell r="J17">
            <v>456.52</v>
          </cell>
          <cell r="K17">
            <v>11</v>
          </cell>
          <cell r="L17" t="str">
            <v>447.TR</v>
          </cell>
        </row>
        <row r="18">
          <cell r="A18">
            <v>12</v>
          </cell>
          <cell r="B18">
            <v>262002109</v>
          </cell>
          <cell r="C18" t="str">
            <v>ss</v>
          </cell>
          <cell r="D18" t="str">
            <v>b</v>
          </cell>
          <cell r="E18">
            <v>1</v>
          </cell>
          <cell r="F18">
            <v>447.96</v>
          </cell>
          <cell r="G18">
            <v>447.36</v>
          </cell>
          <cell r="H18" t="str">
            <v>447.TO</v>
          </cell>
          <cell r="I18" t="str">
            <v>565.20</v>
          </cell>
          <cell r="J18">
            <v>456.52</v>
          </cell>
          <cell r="K18">
            <v>12</v>
          </cell>
          <cell r="L18" t="str">
            <v>447.TR</v>
          </cell>
        </row>
        <row r="19">
          <cell r="A19">
            <v>18</v>
          </cell>
          <cell r="B19">
            <v>262002125</v>
          </cell>
          <cell r="C19" t="str">
            <v>ss</v>
          </cell>
          <cell r="D19" t="str">
            <v>b</v>
          </cell>
          <cell r="E19">
            <v>1</v>
          </cell>
          <cell r="F19">
            <v>447.96</v>
          </cell>
          <cell r="G19">
            <v>447.36</v>
          </cell>
          <cell r="H19" t="str">
            <v>447.TO</v>
          </cell>
          <cell r="I19" t="str">
            <v>565.20</v>
          </cell>
          <cell r="J19">
            <v>456.52</v>
          </cell>
          <cell r="K19">
            <v>18</v>
          </cell>
          <cell r="L19" t="str">
            <v>447.TR</v>
          </cell>
        </row>
        <row r="20">
          <cell r="A20">
            <v>19</v>
          </cell>
          <cell r="B20">
            <v>262002092</v>
          </cell>
          <cell r="C20" t="str">
            <v>ss</v>
          </cell>
          <cell r="D20" t="str">
            <v>b</v>
          </cell>
          <cell r="E20">
            <v>1</v>
          </cell>
          <cell r="F20">
            <v>447.96</v>
          </cell>
          <cell r="G20">
            <v>447.36</v>
          </cell>
          <cell r="H20" t="str">
            <v>447.TO</v>
          </cell>
          <cell r="I20" t="str">
            <v>565.20</v>
          </cell>
          <cell r="J20">
            <v>456.52</v>
          </cell>
          <cell r="K20">
            <v>19</v>
          </cell>
          <cell r="L20" t="str">
            <v>447.TR</v>
          </cell>
        </row>
        <row r="21">
          <cell r="A21">
            <v>20</v>
          </cell>
          <cell r="B21">
            <v>262002042</v>
          </cell>
          <cell r="C21" t="str">
            <v>ss</v>
          </cell>
          <cell r="D21" t="str">
            <v>b</v>
          </cell>
          <cell r="E21">
            <v>1</v>
          </cell>
          <cell r="F21" t="str">
            <v>447.8E</v>
          </cell>
          <cell r="G21" t="str">
            <v>447.5E</v>
          </cell>
          <cell r="H21" t="str">
            <v>447.TO</v>
          </cell>
          <cell r="I21" t="str">
            <v>565.20</v>
          </cell>
          <cell r="J21">
            <v>456.52</v>
          </cell>
          <cell r="K21">
            <v>20</v>
          </cell>
          <cell r="L21" t="str">
            <v>447.TR</v>
          </cell>
        </row>
        <row r="22">
          <cell r="A22">
            <v>29</v>
          </cell>
          <cell r="B22">
            <v>262002026</v>
          </cell>
          <cell r="C22" t="str">
            <v>ss</v>
          </cell>
          <cell r="D22" t="str">
            <v>b</v>
          </cell>
          <cell r="E22">
            <v>1</v>
          </cell>
          <cell r="F22">
            <v>447.89</v>
          </cell>
          <cell r="G22">
            <v>447.29</v>
          </cell>
          <cell r="H22" t="str">
            <v>447.TA</v>
          </cell>
          <cell r="I22" t="str">
            <v>565.35</v>
          </cell>
          <cell r="J22">
            <v>456.52</v>
          </cell>
          <cell r="K22">
            <v>29</v>
          </cell>
          <cell r="L22" t="str">
            <v>447.TR</v>
          </cell>
        </row>
        <row r="23">
          <cell r="A23">
            <v>32</v>
          </cell>
          <cell r="B23">
            <v>262002117</v>
          </cell>
          <cell r="C23" t="str">
            <v>ss</v>
          </cell>
          <cell r="D23" t="str">
            <v>b</v>
          </cell>
          <cell r="E23">
            <v>1</v>
          </cell>
          <cell r="F23">
            <v>447.96</v>
          </cell>
          <cell r="G23">
            <v>447.36</v>
          </cell>
          <cell r="H23" t="str">
            <v>447.TO</v>
          </cell>
          <cell r="I23" t="str">
            <v>565.20</v>
          </cell>
          <cell r="J23">
            <v>456.52</v>
          </cell>
          <cell r="K23">
            <v>32</v>
          </cell>
          <cell r="L23" t="str">
            <v>447.TR</v>
          </cell>
        </row>
        <row r="32">
          <cell r="A32" t="str">
            <v>uu</v>
          </cell>
          <cell r="B32" t="str">
            <v>Unit Sales Agreement</v>
          </cell>
          <cell r="G32">
            <v>1</v>
          </cell>
          <cell r="H32" t="str">
            <v>15 Days after date of invoice</v>
          </cell>
          <cell r="K32">
            <v>17</v>
          </cell>
        </row>
        <row r="33">
          <cell r="A33" t="str">
            <v>ss</v>
          </cell>
          <cell r="B33" t="str">
            <v>System Sales Agreement</v>
          </cell>
          <cell r="G33">
            <v>2</v>
          </cell>
          <cell r="H33" t="str">
            <v>15 days after bill is rendered</v>
          </cell>
          <cell r="K33">
            <v>17</v>
          </cell>
        </row>
        <row r="34">
          <cell r="A34" t="str">
            <v>i</v>
          </cell>
          <cell r="B34" t="str">
            <v>Interruptible Sales Agreement</v>
          </cell>
          <cell r="G34">
            <v>3</v>
          </cell>
          <cell r="H34" t="str">
            <v>30 days after date of invoice</v>
          </cell>
          <cell r="K34">
            <v>32</v>
          </cell>
        </row>
        <row r="35">
          <cell r="A35" t="str">
            <v>ee</v>
          </cell>
          <cell r="B35" t="str">
            <v>Exchange Agreement</v>
          </cell>
          <cell r="G35">
            <v>4</v>
          </cell>
          <cell r="H35" t="str">
            <v>10 days after date of invoice</v>
          </cell>
          <cell r="K35">
            <v>12</v>
          </cell>
        </row>
        <row r="36">
          <cell r="G36">
            <v>5</v>
          </cell>
          <cell r="H36" t="str">
            <v>15 days after receipt of bill</v>
          </cell>
          <cell r="K36">
            <v>20</v>
          </cell>
        </row>
        <row r="37">
          <cell r="G37">
            <v>6</v>
          </cell>
          <cell r="H37" t="str">
            <v>20 days after receipt of bill</v>
          </cell>
          <cell r="K37">
            <v>25</v>
          </cell>
        </row>
        <row r="38">
          <cell r="G38">
            <v>7</v>
          </cell>
          <cell r="H38" t="str">
            <v>25 days after bill is rendered</v>
          </cell>
          <cell r="K38">
            <v>27</v>
          </cell>
        </row>
        <row r="39">
          <cell r="G39">
            <v>8</v>
          </cell>
          <cell r="H39" t="str">
            <v>10 days after receipt of bill</v>
          </cell>
        </row>
        <row r="40">
          <cell r="G40">
            <v>9</v>
          </cell>
          <cell r="H40" t="str">
            <v>30 days after receipt of bill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ual"/>
      <sheetName val="Monthly Shares"/>
      <sheetName val="normal sales comp "/>
      <sheetName val="normal output comp"/>
      <sheetName val="AnnualACT"/>
      <sheetName val="AnnualActCal"/>
      <sheetName val="AnnualNormCal"/>
      <sheetName val="output to sas"/>
      <sheetName val="LRPEAKS"/>
      <sheetName val="2005MODEL"/>
      <sheetName val="2005FINAL"/>
      <sheetName val="2005NORMAL"/>
      <sheetName val="2006FINAL"/>
      <sheetName val="2007FINAL"/>
      <sheetName val="2008FINAL"/>
      <sheetName val="2009FINAL"/>
      <sheetName val="2010FINAL"/>
      <sheetName val="2005Calendar"/>
      <sheetName val="2005CalNormal"/>
      <sheetName val="2006Calendar"/>
      <sheetName val="2007Calendar"/>
      <sheetName val="2008Calendar"/>
      <sheetName val="2009Calendar"/>
      <sheetName val="2010Calendar"/>
      <sheetName val="Sales to SAS"/>
      <sheetName val="CLP Comp"/>
      <sheetName val="PSNH Comp"/>
      <sheetName val="WMECO Com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"/>
      <sheetName val="GS"/>
      <sheetName val="GST"/>
      <sheetName val="LPT"/>
      <sheetName val="M"/>
      <sheetName val="U"/>
      <sheetName val="NUS"/>
      <sheetName val="GS_SPC"/>
      <sheetName val="GST_SPC"/>
      <sheetName val="LPT_SPC"/>
      <sheetName val="SPC All Exempts"/>
      <sheetName val="Summary"/>
      <sheetName val="SPC Exempt"/>
      <sheetName val="CTA calcs"/>
      <sheetName val="summ_A_RT_06"/>
      <sheetName val="SPC Sikorsky Main Plant"/>
      <sheetName val="TE migration into GS"/>
      <sheetName val="TE pres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>
            <v>2007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inc. stat.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ALLDEN, STEPHEN M" id="{A03097B6-3854-4CA7-8746-7B269447F8F0}" userId="S::stephen.wallden@eversource.com::ca0c570c-d72d-4ca5-9d31-bac3f3fab5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E701"/>
            </a:gs>
            <a:gs pos="100000">
              <a:srgbClr val="FE3E02"/>
            </a:gs>
          </a:gsLst>
          <a:lin ang="5400000" scaled="1"/>
        </a:gra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20519999" lon="1080000" rev="0"/>
          </a:camera>
          <a:lightRig rig="legacyHarsh2" dir="b"/>
        </a:scene3d>
        <a:sp3d extrusionH="430200" prstMaterial="legacyMatte">
          <a:bevelT w="13500" h="13500" prst="angle"/>
          <a:bevelB w="13500" h="13500" prst="angle"/>
          <a:extrusionClr>
            <a:srgbClr val="FF6600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E701"/>
            </a:gs>
            <a:gs pos="100000">
              <a:srgbClr val="FE3E02"/>
            </a:gs>
          </a:gsLst>
          <a:lin ang="5400000" scaled="1"/>
        </a:gra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20519999" lon="1080000" rev="0"/>
          </a:camera>
          <a:lightRig rig="legacyHarsh2" dir="b"/>
        </a:scene3d>
        <a:sp3d extrusionH="430200" prstMaterial="legacyMatte">
          <a:bevelT w="13500" h="13500" prst="angle"/>
          <a:bevelB w="13500" h="13500" prst="angle"/>
          <a:extrusionClr>
            <a:srgbClr val="FF6600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Normal="100" workbookViewId="0"/>
  </sheetViews>
  <sheetFormatPr defaultColWidth="9.140625" defaultRowHeight="12.75" x14ac:dyDescent="0.2"/>
  <cols>
    <col min="1" max="1" width="3" style="86" bestFit="1" customWidth="1"/>
    <col min="2" max="2" width="1.7109375" style="80" customWidth="1"/>
    <col min="3" max="3" width="67.7109375" style="80" customWidth="1"/>
    <col min="4" max="4" width="17.5703125" style="80" bestFit="1" customWidth="1"/>
    <col min="5" max="16384" width="9.140625" style="80"/>
  </cols>
  <sheetData>
    <row r="1" spans="1:8" s="1" customFormat="1" x14ac:dyDescent="0.2">
      <c r="A1" s="3">
        <v>1</v>
      </c>
      <c r="B1" s="8" t="s">
        <v>73</v>
      </c>
      <c r="G1" s="2"/>
    </row>
    <row r="2" spans="1:8" s="1" customFormat="1" x14ac:dyDescent="0.2">
      <c r="A2" s="3">
        <f>A1+1</f>
        <v>2</v>
      </c>
      <c r="B2" s="8" t="s">
        <v>132</v>
      </c>
      <c r="C2" s="111"/>
      <c r="E2" s="1" t="s">
        <v>5</v>
      </c>
      <c r="F2" s="1" t="s">
        <v>5</v>
      </c>
      <c r="G2" s="2" t="s">
        <v>5</v>
      </c>
    </row>
    <row r="3" spans="1:8" s="1" customFormat="1" x14ac:dyDescent="0.2">
      <c r="A3" s="3">
        <f t="shared" ref="A3:A36" si="0">A2+1</f>
        <v>3</v>
      </c>
      <c r="G3" s="2" t="s">
        <v>5</v>
      </c>
    </row>
    <row r="4" spans="1:8" s="1" customFormat="1" x14ac:dyDescent="0.2">
      <c r="A4" s="3">
        <f t="shared" si="0"/>
        <v>4</v>
      </c>
      <c r="E4" s="3"/>
      <c r="F4" s="4"/>
    </row>
    <row r="5" spans="1:8" s="1" customFormat="1" x14ac:dyDescent="0.2">
      <c r="A5" s="3">
        <f t="shared" si="0"/>
        <v>5</v>
      </c>
      <c r="E5" s="3"/>
      <c r="F5" s="4"/>
    </row>
    <row r="6" spans="1:8" s="1" customFormat="1" x14ac:dyDescent="0.2">
      <c r="A6" s="3">
        <f t="shared" si="0"/>
        <v>6</v>
      </c>
      <c r="C6" s="129"/>
      <c r="E6" s="3"/>
      <c r="F6" s="4"/>
    </row>
    <row r="7" spans="1:8" x14ac:dyDescent="0.2">
      <c r="A7" s="3">
        <f t="shared" si="0"/>
        <v>7</v>
      </c>
    </row>
    <row r="8" spans="1:8" s="1" customFormat="1" x14ac:dyDescent="0.2">
      <c r="A8" s="3">
        <f t="shared" si="0"/>
        <v>8</v>
      </c>
      <c r="C8" s="130" t="s">
        <v>100</v>
      </c>
      <c r="D8" s="131"/>
      <c r="E8" s="131"/>
      <c r="F8" s="131"/>
      <c r="G8" s="131"/>
    </row>
    <row r="9" spans="1:8" s="1" customFormat="1" x14ac:dyDescent="0.2">
      <c r="A9" s="3">
        <f t="shared" si="0"/>
        <v>9</v>
      </c>
      <c r="C9" s="132" t="s">
        <v>13</v>
      </c>
      <c r="D9" s="133"/>
      <c r="E9" s="133"/>
      <c r="F9" s="133"/>
      <c r="G9" s="133"/>
    </row>
    <row r="10" spans="1:8" x14ac:dyDescent="0.2">
      <c r="A10" s="3">
        <f t="shared" si="0"/>
        <v>10</v>
      </c>
    </row>
    <row r="11" spans="1:8" x14ac:dyDescent="0.2">
      <c r="A11" s="3">
        <f t="shared" si="0"/>
        <v>11</v>
      </c>
    </row>
    <row r="12" spans="1:8" x14ac:dyDescent="0.2">
      <c r="A12" s="3">
        <f t="shared" si="0"/>
        <v>12</v>
      </c>
      <c r="D12" s="115" t="s">
        <v>14</v>
      </c>
    </row>
    <row r="13" spans="1:8" x14ac:dyDescent="0.2">
      <c r="A13" s="3">
        <f t="shared" si="0"/>
        <v>13</v>
      </c>
      <c r="D13" s="15" t="s">
        <v>12</v>
      </c>
    </row>
    <row r="14" spans="1:8" x14ac:dyDescent="0.2">
      <c r="A14" s="3">
        <f t="shared" si="0"/>
        <v>14</v>
      </c>
      <c r="C14" s="42"/>
      <c r="G14" s="6"/>
      <c r="H14" s="6"/>
    </row>
    <row r="15" spans="1:8" x14ac:dyDescent="0.2">
      <c r="A15" s="3">
        <f t="shared" si="0"/>
        <v>15</v>
      </c>
      <c r="C15" s="80" t="s">
        <v>95</v>
      </c>
      <c r="D15" s="86">
        <v>1</v>
      </c>
    </row>
    <row r="16" spans="1:8" x14ac:dyDescent="0.2">
      <c r="A16" s="3">
        <f t="shared" si="0"/>
        <v>16</v>
      </c>
      <c r="C16" s="58" t="s">
        <v>133</v>
      </c>
      <c r="D16" s="66">
        <v>2</v>
      </c>
    </row>
    <row r="17" spans="1:7" x14ac:dyDescent="0.2">
      <c r="A17" s="3">
        <f t="shared" si="0"/>
        <v>17</v>
      </c>
      <c r="C17" s="80" t="s">
        <v>96</v>
      </c>
      <c r="D17" s="86">
        <v>3</v>
      </c>
      <c r="G17" s="6"/>
    </row>
    <row r="18" spans="1:7" x14ac:dyDescent="0.2">
      <c r="A18" s="3">
        <f t="shared" si="0"/>
        <v>18</v>
      </c>
      <c r="C18" s="80" t="s">
        <v>134</v>
      </c>
      <c r="D18" s="86">
        <v>4</v>
      </c>
      <c r="E18" s="58"/>
      <c r="F18" s="58"/>
    </row>
    <row r="19" spans="1:7" ht="13.5" customHeight="1" x14ac:dyDescent="0.2">
      <c r="A19" s="3">
        <f t="shared" si="0"/>
        <v>19</v>
      </c>
      <c r="D19" s="76"/>
    </row>
    <row r="20" spans="1:7" x14ac:dyDescent="0.2">
      <c r="A20" s="3">
        <f t="shared" si="0"/>
        <v>20</v>
      </c>
      <c r="C20" s="59" t="s">
        <v>101</v>
      </c>
      <c r="D20" s="86"/>
    </row>
    <row r="21" spans="1:7" x14ac:dyDescent="0.2">
      <c r="A21" s="3">
        <f t="shared" si="0"/>
        <v>21</v>
      </c>
      <c r="C21" s="80" t="s">
        <v>135</v>
      </c>
      <c r="D21" s="77" t="s">
        <v>15</v>
      </c>
    </row>
    <row r="22" spans="1:7" x14ac:dyDescent="0.2">
      <c r="A22" s="3">
        <f t="shared" si="0"/>
        <v>22</v>
      </c>
      <c r="C22" s="80" t="s">
        <v>136</v>
      </c>
      <c r="D22" s="86" t="s">
        <v>315</v>
      </c>
    </row>
    <row r="23" spans="1:7" x14ac:dyDescent="0.2">
      <c r="A23" s="3">
        <f t="shared" si="0"/>
        <v>23</v>
      </c>
    </row>
    <row r="24" spans="1:7" x14ac:dyDescent="0.2">
      <c r="A24" s="3">
        <f t="shared" si="0"/>
        <v>24</v>
      </c>
      <c r="C24" s="59" t="s">
        <v>317</v>
      </c>
      <c r="D24" s="86"/>
    </row>
    <row r="25" spans="1:7" x14ac:dyDescent="0.2">
      <c r="A25" s="3">
        <f t="shared" si="0"/>
        <v>25</v>
      </c>
      <c r="C25" s="198">
        <v>43466</v>
      </c>
      <c r="D25" s="77" t="s">
        <v>318</v>
      </c>
    </row>
    <row r="26" spans="1:7" x14ac:dyDescent="0.2">
      <c r="A26" s="3">
        <f t="shared" si="0"/>
        <v>26</v>
      </c>
      <c r="C26" s="198">
        <v>43497</v>
      </c>
      <c r="D26" s="77" t="s">
        <v>319</v>
      </c>
    </row>
    <row r="27" spans="1:7" x14ac:dyDescent="0.2">
      <c r="A27" s="3">
        <f t="shared" si="0"/>
        <v>27</v>
      </c>
      <c r="C27" s="198">
        <v>43525</v>
      </c>
      <c r="D27" s="77" t="s">
        <v>320</v>
      </c>
    </row>
    <row r="28" spans="1:7" x14ac:dyDescent="0.2">
      <c r="A28" s="3">
        <f t="shared" si="0"/>
        <v>28</v>
      </c>
      <c r="C28" s="198">
        <v>43556</v>
      </c>
      <c r="D28" s="77" t="s">
        <v>321</v>
      </c>
    </row>
    <row r="29" spans="1:7" x14ac:dyDescent="0.2">
      <c r="A29" s="3">
        <f t="shared" si="0"/>
        <v>29</v>
      </c>
      <c r="C29" s="198">
        <v>43586</v>
      </c>
      <c r="D29" s="77" t="s">
        <v>322</v>
      </c>
    </row>
    <row r="30" spans="1:7" x14ac:dyDescent="0.2">
      <c r="A30" s="3">
        <f t="shared" si="0"/>
        <v>30</v>
      </c>
      <c r="C30" s="198">
        <v>43617</v>
      </c>
      <c r="D30" s="77" t="s">
        <v>323</v>
      </c>
    </row>
    <row r="31" spans="1:7" x14ac:dyDescent="0.2">
      <c r="A31" s="3">
        <f t="shared" si="0"/>
        <v>31</v>
      </c>
      <c r="C31" s="198">
        <v>43647</v>
      </c>
      <c r="D31" s="77" t="s">
        <v>324</v>
      </c>
    </row>
    <row r="32" spans="1:7" x14ac:dyDescent="0.2">
      <c r="A32" s="3">
        <f t="shared" si="0"/>
        <v>32</v>
      </c>
      <c r="C32" s="198">
        <v>43678</v>
      </c>
      <c r="D32" s="77" t="s">
        <v>325</v>
      </c>
    </row>
    <row r="33" spans="1:4" x14ac:dyDescent="0.2">
      <c r="A33" s="3">
        <f t="shared" si="0"/>
        <v>33</v>
      </c>
      <c r="C33" s="198">
        <v>43709</v>
      </c>
      <c r="D33" s="77" t="s">
        <v>326</v>
      </c>
    </row>
    <row r="34" spans="1:4" x14ac:dyDescent="0.2">
      <c r="A34" s="3">
        <f t="shared" si="0"/>
        <v>34</v>
      </c>
      <c r="C34" s="198">
        <v>43739</v>
      </c>
      <c r="D34" s="77" t="s">
        <v>327</v>
      </c>
    </row>
    <row r="35" spans="1:4" x14ac:dyDescent="0.2">
      <c r="A35" s="3">
        <f t="shared" si="0"/>
        <v>35</v>
      </c>
      <c r="C35" s="198">
        <v>43770</v>
      </c>
      <c r="D35" s="77" t="s">
        <v>328</v>
      </c>
    </row>
    <row r="36" spans="1:4" x14ac:dyDescent="0.2">
      <c r="A36" s="3">
        <f t="shared" si="0"/>
        <v>36</v>
      </c>
      <c r="C36" s="198">
        <v>43800</v>
      </c>
      <c r="D36" s="77" t="s">
        <v>329</v>
      </c>
    </row>
  </sheetData>
  <pageMargins left="0.7" right="0.7" top="1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0"/>
  <sheetViews>
    <sheetView zoomScaleNormal="100" zoomScaleSheetLayoutView="100" workbookViewId="0"/>
  </sheetViews>
  <sheetFormatPr defaultColWidth="9.140625" defaultRowHeight="12.75" x14ac:dyDescent="0.2"/>
  <cols>
    <col min="1" max="1" width="3" style="86" bestFit="1" customWidth="1"/>
    <col min="2" max="2" width="56.140625" style="80" bestFit="1" customWidth="1"/>
    <col min="3" max="3" width="1.7109375" style="80" customWidth="1"/>
    <col min="4" max="4" width="15.7109375" style="80" customWidth="1"/>
    <col min="5" max="5" width="1.7109375" style="80" customWidth="1"/>
    <col min="6" max="6" width="28.28515625" style="80" customWidth="1"/>
    <col min="7" max="16384" width="9.140625" style="80"/>
  </cols>
  <sheetData>
    <row r="1" spans="1:28" s="6" customFormat="1" x14ac:dyDescent="0.2">
      <c r="A1" s="66">
        <v>1</v>
      </c>
      <c r="B1" s="8" t="s">
        <v>73</v>
      </c>
      <c r="C1" s="5"/>
      <c r="D1" s="5"/>
      <c r="E1" s="5"/>
      <c r="F1" s="5"/>
      <c r="G1" s="7" t="s">
        <v>162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6" customFormat="1" x14ac:dyDescent="0.2">
      <c r="A2" s="66">
        <f>A1+1</f>
        <v>2</v>
      </c>
      <c r="B2" s="8" t="str">
        <f>TOC!B2</f>
        <v>Docket No. 20-03-01</v>
      </c>
      <c r="C2" s="9"/>
      <c r="G2" s="10" t="s">
        <v>11</v>
      </c>
      <c r="H2" s="10"/>
      <c r="I2" s="10"/>
      <c r="J2" s="10"/>
      <c r="K2" s="10"/>
      <c r="L2" s="10"/>
      <c r="M2" s="10"/>
      <c r="N2" s="10"/>
      <c r="O2" s="11"/>
    </row>
    <row r="3" spans="1:28" s="6" customFormat="1" x14ac:dyDescent="0.2">
      <c r="A3" s="66">
        <f t="shared" ref="A3:A21" si="0">A2+1</f>
        <v>3</v>
      </c>
      <c r="B3" s="111"/>
      <c r="C3" s="9"/>
      <c r="G3" s="10"/>
      <c r="H3" s="10"/>
      <c r="I3" s="10"/>
      <c r="J3" s="10"/>
      <c r="K3" s="10"/>
      <c r="L3" s="10"/>
      <c r="M3" s="10"/>
      <c r="N3" s="10"/>
      <c r="O3" s="11"/>
    </row>
    <row r="4" spans="1:28" s="6" customFormat="1" x14ac:dyDescent="0.2">
      <c r="A4" s="66">
        <f t="shared" si="0"/>
        <v>4</v>
      </c>
      <c r="B4" s="8"/>
      <c r="C4" s="9"/>
      <c r="G4" s="10"/>
      <c r="H4" s="10"/>
      <c r="I4" s="10"/>
      <c r="J4" s="10"/>
      <c r="K4" s="10"/>
      <c r="L4" s="10"/>
      <c r="M4" s="10"/>
      <c r="N4" s="10"/>
      <c r="O4" s="11"/>
    </row>
    <row r="5" spans="1:28" x14ac:dyDescent="0.2">
      <c r="A5" s="66">
        <f t="shared" si="0"/>
        <v>5</v>
      </c>
      <c r="B5" s="199" t="s">
        <v>61</v>
      </c>
      <c r="C5" s="199"/>
      <c r="D5" s="199"/>
      <c r="E5" s="199"/>
      <c r="F5" s="199"/>
      <c r="I5" s="12"/>
    </row>
    <row r="6" spans="1:28" x14ac:dyDescent="0.2">
      <c r="A6" s="66">
        <f t="shared" si="0"/>
        <v>6</v>
      </c>
      <c r="B6" s="200" t="s">
        <v>64</v>
      </c>
      <c r="C6" s="200"/>
      <c r="D6" s="200"/>
      <c r="E6" s="200"/>
      <c r="F6" s="200"/>
      <c r="G6" s="12" t="s">
        <v>5</v>
      </c>
      <c r="I6" s="12"/>
    </row>
    <row r="7" spans="1:28" x14ac:dyDescent="0.2">
      <c r="A7" s="66">
        <f t="shared" si="0"/>
        <v>7</v>
      </c>
    </row>
    <row r="8" spans="1:28" x14ac:dyDescent="0.2">
      <c r="A8" s="66">
        <f t="shared" si="0"/>
        <v>8</v>
      </c>
      <c r="D8" s="13"/>
    </row>
    <row r="9" spans="1:28" x14ac:dyDescent="0.2">
      <c r="A9" s="66">
        <f t="shared" si="0"/>
        <v>9</v>
      </c>
      <c r="B9" s="115" t="s">
        <v>5</v>
      </c>
      <c r="C9" s="115"/>
      <c r="D9" s="13" t="s">
        <v>5</v>
      </c>
      <c r="E9" s="115"/>
      <c r="F9" s="115" t="s">
        <v>5</v>
      </c>
    </row>
    <row r="10" spans="1:28" x14ac:dyDescent="0.2">
      <c r="A10" s="66">
        <f t="shared" si="0"/>
        <v>10</v>
      </c>
      <c r="D10" s="14" t="s">
        <v>63</v>
      </c>
    </row>
    <row r="11" spans="1:28" ht="15.75" customHeight="1" x14ac:dyDescent="0.2">
      <c r="A11" s="66">
        <f t="shared" si="0"/>
        <v>11</v>
      </c>
      <c r="B11" s="15" t="s">
        <v>8</v>
      </c>
      <c r="C11" s="106"/>
      <c r="D11" s="16">
        <v>43830</v>
      </c>
      <c r="F11" s="15" t="s">
        <v>12</v>
      </c>
    </row>
    <row r="12" spans="1:28" x14ac:dyDescent="0.2">
      <c r="A12" s="66">
        <f t="shared" si="0"/>
        <v>12</v>
      </c>
      <c r="B12" s="17"/>
      <c r="C12" s="17"/>
      <c r="D12" s="63"/>
      <c r="E12" s="18"/>
      <c r="F12" s="18"/>
      <c r="G12" s="18"/>
      <c r="H12" s="18"/>
      <c r="I12" s="18"/>
      <c r="J12" s="18"/>
      <c r="K12" s="18"/>
      <c r="L12" s="18"/>
    </row>
    <row r="13" spans="1:28" x14ac:dyDescent="0.2">
      <c r="A13" s="66">
        <f t="shared" si="0"/>
        <v>13</v>
      </c>
      <c r="B13" s="17" t="s">
        <v>137</v>
      </c>
      <c r="C13" s="110"/>
      <c r="D13" s="19">
        <f>'Exh 5, Pg. 3'!D29</f>
        <v>1035100</v>
      </c>
      <c r="E13" s="18"/>
      <c r="F13" s="17" t="s">
        <v>331</v>
      </c>
      <c r="G13" s="18"/>
      <c r="H13" s="173"/>
      <c r="I13" s="18"/>
      <c r="J13" s="18"/>
      <c r="K13" s="18"/>
      <c r="L13" s="18"/>
    </row>
    <row r="14" spans="1:28" x14ac:dyDescent="0.2">
      <c r="A14" s="66">
        <f t="shared" si="0"/>
        <v>14</v>
      </c>
      <c r="B14" s="20" t="s">
        <v>5</v>
      </c>
      <c r="C14" s="107"/>
      <c r="D14" s="19"/>
      <c r="E14" s="18"/>
      <c r="F14" s="18"/>
      <c r="G14" s="18"/>
      <c r="H14" s="173"/>
      <c r="I14" s="18"/>
      <c r="J14" s="18"/>
      <c r="K14" s="18"/>
      <c r="L14" s="18"/>
    </row>
    <row r="15" spans="1:28" s="17" customFormat="1" x14ac:dyDescent="0.2">
      <c r="A15" s="66">
        <f t="shared" si="0"/>
        <v>15</v>
      </c>
      <c r="B15" s="80" t="s">
        <v>7</v>
      </c>
      <c r="C15" s="107"/>
      <c r="D15" s="21">
        <f>'Exh 5, Pg. 3'!AD13</f>
        <v>-511638625</v>
      </c>
      <c r="F15" s="17" t="s">
        <v>114</v>
      </c>
      <c r="H15" s="11"/>
    </row>
    <row r="16" spans="1:28" x14ac:dyDescent="0.2">
      <c r="A16" s="66">
        <f t="shared" si="0"/>
        <v>16</v>
      </c>
      <c r="B16" s="17" t="s">
        <v>10</v>
      </c>
      <c r="C16" s="108"/>
      <c r="D16" s="23">
        <f>'Exh 5, Pg. 3'!AD25</f>
        <v>493543882.40999991</v>
      </c>
      <c r="F16" s="17" t="s">
        <v>166</v>
      </c>
      <c r="H16" s="6"/>
    </row>
    <row r="17" spans="1:8" x14ac:dyDescent="0.2">
      <c r="A17" s="66">
        <f t="shared" si="0"/>
        <v>17</v>
      </c>
      <c r="B17" s="80" t="s">
        <v>138</v>
      </c>
      <c r="C17" s="108"/>
      <c r="D17" s="24">
        <f>D15+D16</f>
        <v>-18094742.590000093</v>
      </c>
      <c r="F17" s="17" t="s">
        <v>111</v>
      </c>
      <c r="H17" s="6"/>
    </row>
    <row r="18" spans="1:8" x14ac:dyDescent="0.2">
      <c r="A18" s="66">
        <f t="shared" si="0"/>
        <v>18</v>
      </c>
      <c r="B18" s="80" t="s">
        <v>139</v>
      </c>
      <c r="C18" s="110"/>
      <c r="D18" s="23">
        <f>'Exh 5, Pg. 3'!AD35</f>
        <v>-604915.08468783367</v>
      </c>
      <c r="F18" s="17" t="s">
        <v>330</v>
      </c>
      <c r="H18" s="6"/>
    </row>
    <row r="19" spans="1:8" x14ac:dyDescent="0.2">
      <c r="A19" s="66">
        <f t="shared" si="0"/>
        <v>19</v>
      </c>
      <c r="B19" s="80" t="s">
        <v>140</v>
      </c>
      <c r="C19" s="108"/>
      <c r="D19" s="24">
        <f>D17+D18</f>
        <v>-18699657.674687926</v>
      </c>
      <c r="F19" s="17" t="s">
        <v>112</v>
      </c>
      <c r="H19" s="6"/>
    </row>
    <row r="20" spans="1:8" x14ac:dyDescent="0.2">
      <c r="A20" s="66">
        <f t="shared" si="0"/>
        <v>20</v>
      </c>
      <c r="C20" s="108"/>
      <c r="D20" s="24"/>
      <c r="F20" s="11"/>
      <c r="H20" s="6"/>
    </row>
    <row r="21" spans="1:8" ht="13.5" thickBot="1" x14ac:dyDescent="0.25">
      <c r="A21" s="66">
        <f t="shared" si="0"/>
        <v>21</v>
      </c>
      <c r="B21" s="80" t="s">
        <v>141</v>
      </c>
      <c r="C21" s="108"/>
      <c r="D21" s="60">
        <f>D13+D19</f>
        <v>-17664557.674687926</v>
      </c>
      <c r="F21" s="11" t="s">
        <v>113</v>
      </c>
      <c r="H21" s="6"/>
    </row>
    <row r="22" spans="1:8" ht="13.5" thickTop="1" x14ac:dyDescent="0.2">
      <c r="A22" s="66"/>
      <c r="C22" s="108"/>
      <c r="H22" s="6"/>
    </row>
    <row r="23" spans="1:8" x14ac:dyDescent="0.2">
      <c r="A23" s="66"/>
      <c r="D23" s="25" t="s">
        <v>5</v>
      </c>
    </row>
    <row r="24" spans="1:8" x14ac:dyDescent="0.2">
      <c r="A24" s="66"/>
    </row>
    <row r="25" spans="1:8" x14ac:dyDescent="0.2">
      <c r="A25" s="66"/>
      <c r="B25" s="80" t="s">
        <v>5</v>
      </c>
    </row>
    <row r="26" spans="1:8" x14ac:dyDescent="0.2">
      <c r="A26" s="66"/>
    </row>
    <row r="27" spans="1:8" x14ac:dyDescent="0.2">
      <c r="A27" s="66"/>
      <c r="B27" s="80" t="s">
        <v>5</v>
      </c>
    </row>
    <row r="28" spans="1:8" x14ac:dyDescent="0.2">
      <c r="A28" s="66"/>
    </row>
    <row r="29" spans="1:8" x14ac:dyDescent="0.2">
      <c r="A29" s="66"/>
    </row>
    <row r="30" spans="1:8" x14ac:dyDescent="0.2">
      <c r="A30" s="66"/>
    </row>
  </sheetData>
  <mergeCells count="2">
    <mergeCell ref="B5:F5"/>
    <mergeCell ref="B6:F6"/>
  </mergeCells>
  <phoneticPr fontId="4" type="noConversion"/>
  <printOptions horizontalCentered="1"/>
  <pageMargins left="0.75" right="0.75" top="1.25" bottom="1" header="0.5" footer="0.5"/>
  <pageSetup scale="9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zoomScale="110" zoomScaleNormal="110" workbookViewId="0"/>
  </sheetViews>
  <sheetFormatPr defaultColWidth="8.85546875" defaultRowHeight="12.75" x14ac:dyDescent="0.2"/>
  <cols>
    <col min="1" max="1" width="3" style="86" bestFit="1" customWidth="1"/>
    <col min="2" max="2" width="56.7109375" style="80" customWidth="1"/>
    <col min="3" max="3" width="5" style="6" bestFit="1" customWidth="1"/>
    <col min="4" max="8" width="14.85546875" style="80" customWidth="1"/>
    <col min="9" max="9" width="3" style="80" customWidth="1"/>
    <col min="10" max="10" width="14.42578125" style="80" customWidth="1"/>
    <col min="11" max="11" width="13.7109375" style="80" customWidth="1"/>
    <col min="12" max="12" width="12.7109375" style="17" customWidth="1"/>
    <col min="13" max="13" width="12" style="17" bestFit="1" customWidth="1"/>
    <col min="14" max="14" width="11.85546875" style="17" customWidth="1"/>
    <col min="15" max="15" width="12.140625" style="17" bestFit="1" customWidth="1"/>
    <col min="16" max="16" width="13.5703125" style="11" bestFit="1" customWidth="1"/>
    <col min="17" max="17" width="12.28515625" style="11" customWidth="1"/>
    <col min="18" max="19" width="11.5703125" style="11" bestFit="1" customWidth="1"/>
    <col min="20" max="20" width="10.7109375" style="11" bestFit="1" customWidth="1"/>
    <col min="21" max="16384" width="8.85546875" style="80"/>
  </cols>
  <sheetData>
    <row r="1" spans="1:20" x14ac:dyDescent="0.2">
      <c r="A1" s="86">
        <v>1</v>
      </c>
      <c r="B1" s="8" t="s">
        <v>73</v>
      </c>
      <c r="C1" s="8"/>
      <c r="E1" s="5"/>
      <c r="F1" s="5"/>
      <c r="G1" s="5"/>
      <c r="I1" s="5"/>
      <c r="J1" s="26" t="s">
        <v>163</v>
      </c>
    </row>
    <row r="2" spans="1:20" x14ac:dyDescent="0.2">
      <c r="A2" s="86">
        <f>A1+1</f>
        <v>2</v>
      </c>
      <c r="B2" s="8" t="str">
        <f>TOC!B2</f>
        <v>Docket No. 20-03-01</v>
      </c>
      <c r="C2" s="8"/>
      <c r="E2" s="5"/>
      <c r="F2" s="5"/>
      <c r="G2" s="5"/>
      <c r="I2" s="5"/>
      <c r="J2" s="26"/>
    </row>
    <row r="3" spans="1:20" x14ac:dyDescent="0.2">
      <c r="A3" s="86">
        <f t="shared" ref="A3:A36" si="0">A2+1</f>
        <v>3</v>
      </c>
      <c r="E3" s="5"/>
      <c r="F3" s="5"/>
      <c r="G3" s="5"/>
      <c r="I3" s="5"/>
      <c r="J3" s="26"/>
    </row>
    <row r="4" spans="1:20" x14ac:dyDescent="0.2">
      <c r="A4" s="86">
        <f t="shared" si="0"/>
        <v>4</v>
      </c>
      <c r="E4" s="5"/>
      <c r="F4" s="5"/>
      <c r="G4" s="5"/>
      <c r="I4" s="5"/>
      <c r="J4" s="26"/>
    </row>
    <row r="5" spans="1:20" x14ac:dyDescent="0.2">
      <c r="A5" s="86">
        <f t="shared" si="0"/>
        <v>5</v>
      </c>
      <c r="B5" s="116"/>
      <c r="C5" s="116"/>
      <c r="D5" s="200" t="s">
        <v>61</v>
      </c>
      <c r="E5" s="200"/>
      <c r="F5" s="200"/>
      <c r="G5" s="200"/>
      <c r="H5" s="200"/>
      <c r="I5" s="116"/>
      <c r="J5" s="116"/>
      <c r="M5" s="119"/>
      <c r="N5" s="119"/>
      <c r="O5" s="119"/>
      <c r="P5" s="119"/>
    </row>
    <row r="6" spans="1:20" x14ac:dyDescent="0.2">
      <c r="A6" s="86">
        <f t="shared" si="0"/>
        <v>6</v>
      </c>
      <c r="B6" s="147"/>
      <c r="C6" s="116"/>
      <c r="D6" s="200" t="s">
        <v>142</v>
      </c>
      <c r="E6" s="200"/>
      <c r="F6" s="200"/>
      <c r="G6" s="200"/>
      <c r="H6" s="200"/>
      <c r="I6" s="116"/>
      <c r="J6" s="116"/>
      <c r="M6" s="119"/>
      <c r="N6" s="119"/>
      <c r="O6" s="119"/>
      <c r="P6" s="119"/>
    </row>
    <row r="7" spans="1:20" x14ac:dyDescent="0.2">
      <c r="A7" s="86">
        <f t="shared" si="0"/>
        <v>7</v>
      </c>
      <c r="B7" s="116"/>
      <c r="C7" s="116"/>
      <c r="D7" s="116"/>
      <c r="E7" s="116"/>
      <c r="F7" s="116"/>
      <c r="G7" s="116"/>
      <c r="H7" s="116"/>
      <c r="I7" s="116"/>
      <c r="J7" s="116"/>
      <c r="M7" s="119"/>
      <c r="N7" s="119"/>
      <c r="O7" s="119"/>
      <c r="P7" s="119"/>
    </row>
    <row r="8" spans="1:20" x14ac:dyDescent="0.2">
      <c r="A8" s="86">
        <f t="shared" si="0"/>
        <v>8</v>
      </c>
      <c r="E8" s="5"/>
      <c r="J8" s="17"/>
      <c r="K8" s="65"/>
    </row>
    <row r="9" spans="1:20" x14ac:dyDescent="0.2">
      <c r="A9" s="86">
        <f t="shared" si="0"/>
        <v>9</v>
      </c>
      <c r="D9" s="86" t="s">
        <v>9</v>
      </c>
      <c r="E9" s="66" t="s">
        <v>89</v>
      </c>
      <c r="F9" s="66" t="s">
        <v>103</v>
      </c>
      <c r="G9" s="66"/>
      <c r="J9" s="17"/>
      <c r="K9" s="17"/>
      <c r="N9" s="63"/>
      <c r="O9" s="85"/>
    </row>
    <row r="10" spans="1:20" ht="38.25" x14ac:dyDescent="0.2">
      <c r="A10" s="86">
        <f t="shared" si="0"/>
        <v>10</v>
      </c>
      <c r="C10" s="120"/>
      <c r="D10" s="27" t="s">
        <v>143</v>
      </c>
      <c r="E10" s="94" t="s">
        <v>144</v>
      </c>
      <c r="F10" s="94" t="s">
        <v>145</v>
      </c>
      <c r="G10" s="67" t="s">
        <v>146</v>
      </c>
      <c r="H10" s="28" t="s">
        <v>65</v>
      </c>
      <c r="J10" s="95"/>
      <c r="K10" s="95"/>
      <c r="L10" s="95"/>
      <c r="M10" s="95"/>
      <c r="N10" s="87"/>
      <c r="O10" s="88"/>
      <c r="P10" s="92"/>
      <c r="Q10" s="88"/>
      <c r="R10" s="88"/>
      <c r="S10" s="88"/>
      <c r="T10" s="96"/>
    </row>
    <row r="11" spans="1:20" x14ac:dyDescent="0.2">
      <c r="A11" s="86">
        <f t="shared" si="0"/>
        <v>11</v>
      </c>
      <c r="E11" s="6"/>
      <c r="F11" s="6"/>
      <c r="G11" s="6"/>
      <c r="J11" s="91"/>
      <c r="K11" s="91"/>
      <c r="L11" s="92"/>
      <c r="M11" s="91"/>
      <c r="N11" s="91"/>
      <c r="O11" s="11"/>
      <c r="P11" s="92"/>
      <c r="Q11" s="92"/>
      <c r="R11" s="92"/>
      <c r="S11" s="92"/>
      <c r="T11" s="92"/>
    </row>
    <row r="12" spans="1:20" x14ac:dyDescent="0.2">
      <c r="A12" s="86">
        <f t="shared" si="0"/>
        <v>12</v>
      </c>
      <c r="D12" s="29"/>
      <c r="E12" s="68"/>
      <c r="F12" s="68"/>
      <c r="G12" s="68"/>
      <c r="H12" s="30"/>
      <c r="J12" s="83"/>
      <c r="K12" s="17"/>
      <c r="L12" s="11"/>
      <c r="N12" s="34"/>
      <c r="O12" s="89"/>
      <c r="P12" s="89"/>
      <c r="T12" s="34"/>
    </row>
    <row r="13" spans="1:20" x14ac:dyDescent="0.2">
      <c r="A13" s="86">
        <f t="shared" si="0"/>
        <v>13</v>
      </c>
      <c r="B13" s="80" t="s">
        <v>66</v>
      </c>
      <c r="C13" s="121"/>
      <c r="D13" s="43">
        <f>'Exh 5, Pg. 3'!AD13</f>
        <v>-511638625</v>
      </c>
      <c r="E13" s="43">
        <v>-241282000</v>
      </c>
      <c r="F13" s="43">
        <v>-280337000</v>
      </c>
      <c r="G13" s="43">
        <f>SUM(E13:F13)</f>
        <v>-521619000</v>
      </c>
      <c r="H13" s="43">
        <f>D13-G13</f>
        <v>9980375</v>
      </c>
      <c r="I13" s="6"/>
      <c r="J13" s="89"/>
      <c r="K13" s="34"/>
      <c r="L13" s="34"/>
      <c r="M13" s="50"/>
      <c r="N13" s="43"/>
      <c r="O13" s="43"/>
      <c r="P13" s="89"/>
      <c r="Q13" s="34"/>
      <c r="R13" s="34"/>
      <c r="S13" s="34"/>
      <c r="T13" s="43"/>
    </row>
    <row r="14" spans="1:20" x14ac:dyDescent="0.2">
      <c r="A14" s="86">
        <f t="shared" si="0"/>
        <v>14</v>
      </c>
      <c r="D14" s="6"/>
      <c r="E14" s="6"/>
      <c r="F14" s="6"/>
      <c r="G14" s="6"/>
      <c r="H14" s="6"/>
      <c r="I14" s="6"/>
      <c r="J14" s="89"/>
      <c r="K14" s="11"/>
      <c r="L14" s="11"/>
      <c r="N14" s="11"/>
      <c r="O14" s="11"/>
      <c r="P14" s="89"/>
    </row>
    <row r="15" spans="1:20" x14ac:dyDescent="0.2">
      <c r="A15" s="86">
        <f t="shared" si="0"/>
        <v>15</v>
      </c>
      <c r="B15" s="31" t="s">
        <v>67</v>
      </c>
      <c r="C15" s="112"/>
      <c r="D15" s="6"/>
      <c r="E15" s="6"/>
      <c r="F15" s="6"/>
      <c r="G15" s="6"/>
      <c r="H15" s="6"/>
      <c r="J15" s="83"/>
      <c r="K15" s="17"/>
      <c r="L15" s="11"/>
      <c r="M15" s="48"/>
      <c r="N15" s="11"/>
      <c r="O15" s="11"/>
      <c r="P15" s="89"/>
      <c r="S15" s="97"/>
    </row>
    <row r="16" spans="1:20" x14ac:dyDescent="0.2">
      <c r="A16" s="86">
        <f t="shared" si="0"/>
        <v>16</v>
      </c>
      <c r="B16" s="80" t="s">
        <v>178</v>
      </c>
      <c r="C16" s="121"/>
      <c r="D16" s="32">
        <f>'Exh 5, Pg. 3'!AD16</f>
        <v>67802166.730000004</v>
      </c>
      <c r="E16" s="32">
        <v>37398000</v>
      </c>
      <c r="F16" s="32">
        <v>38484000</v>
      </c>
      <c r="G16" s="43">
        <f>SUM(E16:F16)</f>
        <v>75882000</v>
      </c>
      <c r="H16" s="43">
        <f t="shared" ref="H16:H26" si="1">D16-G16</f>
        <v>-8079833.2699999958</v>
      </c>
      <c r="J16" s="83"/>
      <c r="K16" s="50"/>
      <c r="L16" s="34"/>
      <c r="M16" s="50"/>
      <c r="N16" s="43"/>
      <c r="O16" s="43"/>
      <c r="P16" s="89"/>
      <c r="Q16" s="34"/>
      <c r="R16" s="34"/>
      <c r="S16" s="34"/>
      <c r="T16" s="43"/>
    </row>
    <row r="17" spans="1:20" x14ac:dyDescent="0.2">
      <c r="A17" s="86">
        <f t="shared" si="0"/>
        <v>17</v>
      </c>
      <c r="B17" s="80" t="s">
        <v>2</v>
      </c>
      <c r="D17" s="81">
        <f>'Exh 5, Pg. 3'!AD17</f>
        <v>401437316.24000001</v>
      </c>
      <c r="E17" s="81">
        <v>196943000</v>
      </c>
      <c r="F17" s="81">
        <v>234421000</v>
      </c>
      <c r="G17" s="81">
        <f>SUM(E17:F17)</f>
        <v>431364000</v>
      </c>
      <c r="H17" s="81">
        <f t="shared" si="1"/>
        <v>-29926683.75999999</v>
      </c>
      <c r="J17" s="83"/>
      <c r="K17" s="50"/>
      <c r="L17" s="34"/>
      <c r="M17" s="50"/>
      <c r="N17" s="50"/>
      <c r="O17" s="90"/>
      <c r="P17" s="89"/>
      <c r="Q17" s="34"/>
      <c r="R17" s="34"/>
      <c r="S17" s="34"/>
      <c r="T17" s="34"/>
    </row>
    <row r="18" spans="1:20" x14ac:dyDescent="0.2">
      <c r="A18" s="86">
        <f t="shared" si="0"/>
        <v>18</v>
      </c>
      <c r="B18" s="80" t="s">
        <v>3</v>
      </c>
      <c r="D18" s="81">
        <f>'Exh 5, Pg. 3'!AD18</f>
        <v>5740953.5099999998</v>
      </c>
      <c r="E18" s="81">
        <v>2836000</v>
      </c>
      <c r="F18" s="81">
        <v>3330000</v>
      </c>
      <c r="G18" s="81">
        <f t="shared" ref="G18:G26" si="2">SUM(E18:F18)</f>
        <v>6166000</v>
      </c>
      <c r="H18" s="81">
        <f t="shared" si="1"/>
        <v>-425046.49000000022</v>
      </c>
      <c r="J18" s="83"/>
      <c r="K18" s="50"/>
      <c r="L18" s="34"/>
      <c r="M18" s="50"/>
      <c r="N18" s="50"/>
      <c r="O18" s="90"/>
      <c r="P18" s="89"/>
      <c r="Q18" s="34"/>
      <c r="R18" s="34"/>
      <c r="S18" s="34"/>
      <c r="T18" s="34"/>
    </row>
    <row r="19" spans="1:20" x14ac:dyDescent="0.2">
      <c r="A19" s="86">
        <f t="shared" si="0"/>
        <v>19</v>
      </c>
      <c r="B19" s="80" t="s">
        <v>4</v>
      </c>
      <c r="D19" s="81">
        <f>'Exh 5, Pg. 3'!AD19</f>
        <v>7200595.2400000012</v>
      </c>
      <c r="E19" s="81">
        <v>3793000</v>
      </c>
      <c r="F19" s="81">
        <v>3783000</v>
      </c>
      <c r="G19" s="81">
        <f t="shared" si="2"/>
        <v>7576000</v>
      </c>
      <c r="H19" s="81">
        <f t="shared" si="1"/>
        <v>-375404.75999999885</v>
      </c>
      <c r="J19" s="83"/>
      <c r="K19" s="50"/>
      <c r="L19" s="34"/>
      <c r="M19" s="50"/>
      <c r="N19" s="50"/>
      <c r="O19" s="90"/>
      <c r="P19" s="89"/>
      <c r="Q19" s="34"/>
      <c r="R19" s="34"/>
      <c r="S19" s="34"/>
      <c r="T19" s="34"/>
    </row>
    <row r="20" spans="1:20" x14ac:dyDescent="0.2">
      <c r="A20" s="86">
        <f t="shared" si="0"/>
        <v>20</v>
      </c>
      <c r="B20" s="80" t="s">
        <v>109</v>
      </c>
      <c r="D20" s="81">
        <f>'Exh 5, Pg. 3'!AD20</f>
        <v>-7201269.0599999996</v>
      </c>
      <c r="E20" s="81">
        <v>-3793000</v>
      </c>
      <c r="F20" s="81">
        <v>-3783000</v>
      </c>
      <c r="G20" s="81">
        <f t="shared" ref="G20" si="3">SUM(E20:F20)</f>
        <v>-7576000</v>
      </c>
      <c r="H20" s="81">
        <f t="shared" ref="H20" si="4">D20-G20</f>
        <v>374730.94000000041</v>
      </c>
      <c r="J20" s="83"/>
      <c r="K20" s="50"/>
      <c r="L20" s="34"/>
      <c r="M20" s="50"/>
      <c r="N20" s="50"/>
      <c r="O20" s="90"/>
      <c r="P20" s="89"/>
      <c r="Q20" s="34"/>
      <c r="R20" s="34"/>
      <c r="S20" s="34"/>
      <c r="T20" s="34"/>
    </row>
    <row r="21" spans="1:20" x14ac:dyDescent="0.2">
      <c r="A21" s="86">
        <f t="shared" si="0"/>
        <v>21</v>
      </c>
      <c r="B21" s="6" t="s">
        <v>110</v>
      </c>
      <c r="D21" s="81">
        <f>'Exh 5, Pg. 3'!AD21</f>
        <v>612050</v>
      </c>
      <c r="E21" s="81">
        <v>322000</v>
      </c>
      <c r="F21" s="81">
        <v>322000</v>
      </c>
      <c r="G21" s="81">
        <f t="shared" si="2"/>
        <v>644000</v>
      </c>
      <c r="H21" s="81">
        <f t="shared" si="1"/>
        <v>-31950</v>
      </c>
      <c r="J21" s="83"/>
      <c r="K21" s="50"/>
      <c r="L21" s="34"/>
      <c r="M21" s="50"/>
      <c r="N21" s="50"/>
      <c r="O21" s="90"/>
      <c r="P21" s="89"/>
      <c r="Q21" s="34"/>
      <c r="R21" s="34"/>
      <c r="S21" s="34"/>
      <c r="T21" s="34"/>
    </row>
    <row r="22" spans="1:20" x14ac:dyDescent="0.2">
      <c r="A22" s="86">
        <f t="shared" si="0"/>
        <v>22</v>
      </c>
      <c r="B22" s="80" t="s">
        <v>131</v>
      </c>
      <c r="D22" s="81">
        <f>'Exh 5, Pg. 3'!AD22</f>
        <v>-17997369.41</v>
      </c>
      <c r="E22" s="81">
        <v>-10228000</v>
      </c>
      <c r="F22" s="81">
        <v>-7521000</v>
      </c>
      <c r="G22" s="81">
        <f t="shared" si="2"/>
        <v>-17749000</v>
      </c>
      <c r="H22" s="81">
        <f t="shared" si="1"/>
        <v>-248369.41000000015</v>
      </c>
      <c r="J22" s="83"/>
      <c r="K22" s="50"/>
      <c r="L22" s="34"/>
      <c r="M22" s="50"/>
      <c r="N22" s="50"/>
      <c r="O22" s="90"/>
      <c r="P22" s="89"/>
      <c r="Q22" s="34"/>
      <c r="R22" s="34"/>
      <c r="S22" s="34"/>
      <c r="T22" s="34"/>
    </row>
    <row r="23" spans="1:20" x14ac:dyDescent="0.2">
      <c r="A23" s="86">
        <f t="shared" si="0"/>
        <v>23</v>
      </c>
      <c r="B23" s="80" t="s">
        <v>104</v>
      </c>
      <c r="D23" s="81">
        <f>'Exh 5, Pg. 3'!AD23</f>
        <v>223407.16000000003</v>
      </c>
      <c r="E23" s="81">
        <v>0</v>
      </c>
      <c r="F23" s="81">
        <v>0</v>
      </c>
      <c r="G23" s="81">
        <f t="shared" si="2"/>
        <v>0</v>
      </c>
      <c r="H23" s="81">
        <f t="shared" si="1"/>
        <v>223407.16000000003</v>
      </c>
      <c r="J23" s="17"/>
      <c r="K23" s="83"/>
      <c r="L23" s="89"/>
      <c r="M23" s="50"/>
      <c r="N23" s="50"/>
      <c r="O23" s="90"/>
      <c r="Q23" s="89"/>
      <c r="R23" s="89"/>
      <c r="S23" s="34"/>
      <c r="T23" s="34"/>
    </row>
    <row r="24" spans="1:20" ht="13.5" customHeight="1" x14ac:dyDescent="0.2">
      <c r="A24" s="86">
        <f t="shared" si="0"/>
        <v>24</v>
      </c>
      <c r="B24" s="80" t="s">
        <v>6</v>
      </c>
      <c r="C24" s="121"/>
      <c r="D24" s="81">
        <f>'Exh 5, Pg. 3'!AD24</f>
        <v>35726032</v>
      </c>
      <c r="E24" s="81">
        <v>18326000</v>
      </c>
      <c r="F24" s="81">
        <v>21299000</v>
      </c>
      <c r="G24" s="81">
        <f t="shared" si="2"/>
        <v>39625000</v>
      </c>
      <c r="H24" s="81">
        <f t="shared" si="1"/>
        <v>-3898968</v>
      </c>
      <c r="J24" s="84"/>
      <c r="K24" s="50"/>
      <c r="L24" s="34"/>
      <c r="M24" s="50"/>
      <c r="N24" s="50"/>
      <c r="O24" s="90"/>
      <c r="P24" s="98"/>
      <c r="Q24" s="34"/>
      <c r="R24" s="34"/>
      <c r="S24" s="34"/>
      <c r="T24" s="34"/>
    </row>
    <row r="25" spans="1:20" ht="13.5" customHeight="1" x14ac:dyDescent="0.2">
      <c r="A25" s="86">
        <f t="shared" si="0"/>
        <v>25</v>
      </c>
      <c r="B25" s="80" t="s">
        <v>70</v>
      </c>
      <c r="C25" s="121"/>
      <c r="D25" s="35">
        <f>'Exh 5, Pg. 3'!AD35</f>
        <v>-604915.08468783367</v>
      </c>
      <c r="E25" s="90">
        <v>-133000</v>
      </c>
      <c r="F25" s="90">
        <v>29000</v>
      </c>
      <c r="G25" s="90">
        <f t="shared" si="2"/>
        <v>-104000</v>
      </c>
      <c r="H25" s="90">
        <f t="shared" si="1"/>
        <v>-500915.08468783367</v>
      </c>
      <c r="J25" s="84"/>
      <c r="K25" s="50"/>
      <c r="L25" s="34"/>
      <c r="M25" s="50"/>
      <c r="N25" s="50"/>
      <c r="O25" s="90"/>
      <c r="P25" s="98"/>
      <c r="Q25" s="34"/>
      <c r="R25" s="34"/>
      <c r="S25" s="34"/>
      <c r="T25" s="34"/>
    </row>
    <row r="26" spans="1:20" ht="13.5" customHeight="1" x14ac:dyDescent="0.2">
      <c r="A26" s="86">
        <f t="shared" si="0"/>
        <v>26</v>
      </c>
      <c r="B26" s="80" t="s">
        <v>117</v>
      </c>
      <c r="C26" s="121"/>
      <c r="D26" s="36"/>
      <c r="E26" s="82"/>
      <c r="F26" s="82">
        <v>-15244000</v>
      </c>
      <c r="G26" s="82">
        <f t="shared" si="2"/>
        <v>-15244000</v>
      </c>
      <c r="H26" s="90">
        <f t="shared" si="1"/>
        <v>15244000</v>
      </c>
      <c r="J26" s="84"/>
      <c r="K26" s="50"/>
      <c r="L26" s="34"/>
      <c r="M26" s="50"/>
      <c r="N26" s="50"/>
      <c r="O26" s="90"/>
      <c r="P26" s="98"/>
      <c r="Q26" s="34"/>
      <c r="R26" s="34"/>
      <c r="S26" s="34"/>
      <c r="T26" s="34"/>
    </row>
    <row r="27" spans="1:20" x14ac:dyDescent="0.2">
      <c r="A27" s="86">
        <f t="shared" si="0"/>
        <v>27</v>
      </c>
      <c r="B27" s="80" t="s">
        <v>68</v>
      </c>
      <c r="D27" s="37">
        <f>SUM(D16:D26)</f>
        <v>492938967.3253122</v>
      </c>
      <c r="E27" s="37">
        <f>SUM(E16:E26)</f>
        <v>245464000</v>
      </c>
      <c r="F27" s="37">
        <f>SUM(F16:F26)</f>
        <v>275120000</v>
      </c>
      <c r="G27" s="37">
        <f>SUM(G16:G26)</f>
        <v>520584000</v>
      </c>
      <c r="H27" s="93">
        <f>SUM(H16:H26)</f>
        <v>-27645032.674687825</v>
      </c>
      <c r="J27" s="43"/>
      <c r="K27" s="43"/>
      <c r="L27" s="43"/>
      <c r="M27" s="43"/>
      <c r="N27" s="50"/>
      <c r="O27" s="43"/>
      <c r="P27" s="43"/>
      <c r="Q27" s="43"/>
      <c r="R27" s="43"/>
      <c r="S27" s="43"/>
      <c r="T27" s="34"/>
    </row>
    <row r="28" spans="1:20" x14ac:dyDescent="0.2">
      <c r="A28" s="86">
        <f t="shared" si="0"/>
        <v>28</v>
      </c>
      <c r="D28" s="6"/>
      <c r="E28" s="6" t="s">
        <v>5</v>
      </c>
      <c r="F28" s="6" t="s">
        <v>5</v>
      </c>
      <c r="G28" s="6"/>
      <c r="H28" s="38"/>
      <c r="J28" s="11"/>
      <c r="K28" s="11"/>
      <c r="L28" s="11"/>
      <c r="M28" s="11"/>
      <c r="N28" s="38"/>
      <c r="O28" s="11"/>
      <c r="T28" s="38"/>
    </row>
    <row r="29" spans="1:20" x14ac:dyDescent="0.2">
      <c r="A29" s="86">
        <f t="shared" si="0"/>
        <v>29</v>
      </c>
      <c r="B29" s="80" t="s">
        <v>147</v>
      </c>
      <c r="D29" s="69">
        <f>D13+D27</f>
        <v>-18699657.674687803</v>
      </c>
      <c r="E29" s="33">
        <f>E13+E27</f>
        <v>4182000</v>
      </c>
      <c r="F29" s="33">
        <f>F13+F27</f>
        <v>-5217000</v>
      </c>
      <c r="G29" s="33">
        <f>SUM(E29:F29)</f>
        <v>-1035000</v>
      </c>
      <c r="H29" s="69">
        <f>H13+H27</f>
        <v>-17664657.674687825</v>
      </c>
      <c r="J29" s="78"/>
      <c r="K29" s="79"/>
      <c r="L29" s="79"/>
      <c r="M29" s="79"/>
      <c r="N29" s="78"/>
      <c r="O29" s="79"/>
      <c r="P29" s="79"/>
      <c r="Q29" s="79"/>
      <c r="R29" s="79"/>
      <c r="S29" s="79"/>
      <c r="T29" s="79"/>
    </row>
    <row r="30" spans="1:20" x14ac:dyDescent="0.2">
      <c r="A30" s="86">
        <f t="shared" si="0"/>
        <v>30</v>
      </c>
      <c r="B30" s="80" t="s">
        <v>148</v>
      </c>
      <c r="C30" s="121"/>
      <c r="D30" s="29">
        <f>'Exh 5, Pg. 1'!D13</f>
        <v>1035100</v>
      </c>
      <c r="E30" s="34"/>
      <c r="F30" s="34"/>
      <c r="G30" s="29">
        <v>1035000</v>
      </c>
      <c r="H30" s="82">
        <f t="shared" ref="H30" si="5">D30-G30</f>
        <v>100</v>
      </c>
      <c r="J30" s="78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ht="13.5" thickBot="1" x14ac:dyDescent="0.25">
      <c r="A31" s="86">
        <f t="shared" si="0"/>
        <v>31</v>
      </c>
      <c r="B31" s="80" t="s">
        <v>149</v>
      </c>
      <c r="D31" s="47">
        <f>D29+D30</f>
        <v>-17664557.674687803</v>
      </c>
      <c r="E31" s="43"/>
      <c r="F31" s="43"/>
      <c r="G31" s="47">
        <f>G29+G30</f>
        <v>0</v>
      </c>
      <c r="H31" s="47">
        <f>H29+H30</f>
        <v>-17664557.674687825</v>
      </c>
      <c r="J31" s="78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13.5" thickTop="1" x14ac:dyDescent="0.2">
      <c r="A32" s="86">
        <f t="shared" si="0"/>
        <v>32</v>
      </c>
      <c r="J32" s="17"/>
      <c r="K32" s="17"/>
    </row>
    <row r="33" spans="1:18" x14ac:dyDescent="0.2">
      <c r="A33" s="86">
        <f t="shared" si="0"/>
        <v>33</v>
      </c>
      <c r="B33" s="31" t="s">
        <v>28</v>
      </c>
      <c r="C33" s="112"/>
      <c r="M33" s="48"/>
    </row>
    <row r="34" spans="1:18" x14ac:dyDescent="0.2">
      <c r="A34" s="86">
        <f t="shared" si="0"/>
        <v>34</v>
      </c>
      <c r="B34" s="6" t="s">
        <v>161</v>
      </c>
      <c r="E34" s="45"/>
      <c r="F34" s="45"/>
      <c r="G34" s="45"/>
      <c r="H34" s="69"/>
      <c r="O34" s="64"/>
    </row>
    <row r="35" spans="1:18" x14ac:dyDescent="0.2">
      <c r="A35" s="86">
        <f t="shared" si="0"/>
        <v>35</v>
      </c>
      <c r="B35" s="6" t="s">
        <v>150</v>
      </c>
      <c r="D35" s="6"/>
      <c r="E35" s="6"/>
    </row>
    <row r="36" spans="1:18" x14ac:dyDescent="0.2">
      <c r="A36" s="86">
        <f t="shared" si="0"/>
        <v>36</v>
      </c>
      <c r="B36" s="6" t="s">
        <v>151</v>
      </c>
      <c r="D36" s="69"/>
    </row>
    <row r="37" spans="1:18" x14ac:dyDescent="0.2"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79"/>
    </row>
    <row r="38" spans="1:18" x14ac:dyDescent="0.2"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79"/>
    </row>
    <row r="39" spans="1:18" x14ac:dyDescent="0.2"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79"/>
    </row>
    <row r="40" spans="1:18" x14ac:dyDescent="0.2"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79"/>
    </row>
    <row r="41" spans="1:18" x14ac:dyDescent="0.2"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79"/>
    </row>
    <row r="42" spans="1:18" x14ac:dyDescent="0.2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</sheetData>
  <mergeCells count="2">
    <mergeCell ref="D5:H5"/>
    <mergeCell ref="D6:H6"/>
  </mergeCells>
  <pageMargins left="0.7" right="0.7" top="1.25" bottom="0.75" header="0.3" footer="0.3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G52"/>
  <sheetViews>
    <sheetView zoomScaleNormal="100" workbookViewId="0"/>
  </sheetViews>
  <sheetFormatPr defaultColWidth="9.140625" defaultRowHeight="12.75" x14ac:dyDescent="0.2"/>
  <cols>
    <col min="1" max="1" width="3.5703125" style="86" customWidth="1"/>
    <col min="2" max="2" width="59.85546875" style="80" customWidth="1"/>
    <col min="3" max="3" width="0.85546875" style="80" customWidth="1"/>
    <col min="4" max="4" width="13.42578125" style="80" bestFit="1" customWidth="1"/>
    <col min="5" max="5" width="1.7109375" style="86" customWidth="1"/>
    <col min="6" max="6" width="15.42578125" style="80" bestFit="1" customWidth="1"/>
    <col min="7" max="7" width="1.85546875" style="80" customWidth="1"/>
    <col min="8" max="8" width="15.42578125" style="80" bestFit="1" customWidth="1"/>
    <col min="9" max="9" width="1.5703125" style="80" customWidth="1"/>
    <col min="10" max="10" width="15.42578125" style="80" bestFit="1" customWidth="1"/>
    <col min="11" max="11" width="1.28515625" style="80" customWidth="1"/>
    <col min="12" max="12" width="15.42578125" style="80" bestFit="1" customWidth="1"/>
    <col min="13" max="13" width="1.7109375" style="80" customWidth="1"/>
    <col min="14" max="14" width="15.42578125" style="80" bestFit="1" customWidth="1"/>
    <col min="15" max="15" width="1.7109375" style="80" customWidth="1"/>
    <col min="16" max="16" width="15.42578125" style="80" bestFit="1" customWidth="1"/>
    <col min="17" max="17" width="1.85546875" style="6" customWidth="1"/>
    <col min="18" max="18" width="15.42578125" style="80" bestFit="1" customWidth="1"/>
    <col min="19" max="19" width="0.7109375" style="80" customWidth="1"/>
    <col min="20" max="20" width="15.42578125" style="80" bestFit="1" customWidth="1"/>
    <col min="21" max="21" width="0.7109375" style="80" customWidth="1"/>
    <col min="22" max="22" width="15.42578125" style="80" bestFit="1" customWidth="1"/>
    <col min="23" max="23" width="0.7109375" style="80" customWidth="1"/>
    <col min="24" max="24" width="18.28515625" style="80" customWidth="1"/>
    <col min="25" max="25" width="0.85546875" style="80" customWidth="1"/>
    <col min="26" max="26" width="15.28515625" style="80" customWidth="1"/>
    <col min="27" max="27" width="1.140625" style="80" customWidth="1"/>
    <col min="28" max="28" width="15.42578125" style="80" customWidth="1"/>
    <col min="29" max="29" width="1" style="80" customWidth="1"/>
    <col min="30" max="30" width="18" style="80" customWidth="1"/>
    <col min="31" max="31" width="17.5703125" style="80" customWidth="1"/>
    <col min="32" max="32" width="14.28515625" style="113" bestFit="1" customWidth="1"/>
    <col min="33" max="33" width="9.28515625" style="80" bestFit="1" customWidth="1"/>
    <col min="34" max="16384" width="9.140625" style="80"/>
  </cols>
  <sheetData>
    <row r="1" spans="1:33" x14ac:dyDescent="0.2">
      <c r="A1" s="86">
        <v>1</v>
      </c>
      <c r="B1" s="8" t="s">
        <v>73</v>
      </c>
      <c r="D1" s="5"/>
      <c r="F1" s="5"/>
      <c r="AD1" s="26" t="s">
        <v>164</v>
      </c>
    </row>
    <row r="2" spans="1:33" x14ac:dyDescent="0.2">
      <c r="A2" s="86">
        <f>A1+1</f>
        <v>2</v>
      </c>
      <c r="B2" s="8" t="str">
        <f>TOC!B2</f>
        <v>Docket No. 20-03-01</v>
      </c>
      <c r="D2" s="5"/>
      <c r="F2" s="5"/>
      <c r="H2" s="26"/>
    </row>
    <row r="3" spans="1:33" ht="13.5" customHeight="1" x14ac:dyDescent="0.2">
      <c r="A3" s="86">
        <f t="shared" ref="A3:A43" si="0">A2+1</f>
        <v>3</v>
      </c>
      <c r="B3" s="111"/>
      <c r="C3" s="6"/>
      <c r="D3" s="6"/>
      <c r="E3" s="66"/>
    </row>
    <row r="4" spans="1:33" ht="12" customHeight="1" x14ac:dyDescent="0.2">
      <c r="A4" s="86">
        <f t="shared" si="0"/>
        <v>4</v>
      </c>
      <c r="B4" s="199" t="s">
        <v>61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3" s="12" customFormat="1" x14ac:dyDescent="0.2">
      <c r="A5" s="86">
        <f t="shared" si="0"/>
        <v>5</v>
      </c>
      <c r="B5" s="199" t="s">
        <v>152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F5" s="114"/>
    </row>
    <row r="6" spans="1:33" s="12" customFormat="1" x14ac:dyDescent="0.2">
      <c r="A6" s="86">
        <f t="shared" si="0"/>
        <v>6</v>
      </c>
      <c r="B6" s="199" t="s">
        <v>5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D6" s="7"/>
      <c r="AF6" s="114"/>
    </row>
    <row r="7" spans="1:33" x14ac:dyDescent="0.2">
      <c r="A7" s="86">
        <f t="shared" si="0"/>
        <v>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1"/>
      <c r="AD7" s="7"/>
      <c r="AE7" s="12"/>
    </row>
    <row r="8" spans="1:33" x14ac:dyDescent="0.2">
      <c r="A8" s="86">
        <f t="shared" si="0"/>
        <v>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1"/>
    </row>
    <row r="9" spans="1:33" x14ac:dyDescent="0.2">
      <c r="A9" s="86">
        <f t="shared" si="0"/>
        <v>9</v>
      </c>
      <c r="E9" s="115"/>
      <c r="F9" s="118" t="s">
        <v>93</v>
      </c>
      <c r="G9" s="17"/>
      <c r="H9" s="118" t="s">
        <v>93</v>
      </c>
      <c r="I9" s="17"/>
      <c r="J9" s="118" t="s">
        <v>93</v>
      </c>
      <c r="K9" s="17"/>
      <c r="L9" s="118" t="s">
        <v>93</v>
      </c>
      <c r="M9" s="17"/>
      <c r="N9" s="118" t="s">
        <v>93</v>
      </c>
      <c r="O9" s="17"/>
      <c r="P9" s="118" t="s">
        <v>93</v>
      </c>
      <c r="Q9" s="11"/>
      <c r="R9" s="118" t="s">
        <v>93</v>
      </c>
      <c r="S9" s="65"/>
      <c r="T9" s="118" t="s">
        <v>93</v>
      </c>
      <c r="U9" s="65"/>
      <c r="V9" s="118" t="s">
        <v>93</v>
      </c>
      <c r="W9" s="65"/>
      <c r="X9" s="118" t="s">
        <v>93</v>
      </c>
      <c r="Y9" s="65"/>
      <c r="Z9" s="118" t="s">
        <v>93</v>
      </c>
      <c r="AA9" s="118" t="s">
        <v>5</v>
      </c>
      <c r="AB9" s="118" t="s">
        <v>93</v>
      </c>
      <c r="AC9" s="18"/>
      <c r="AD9" s="118" t="s">
        <v>5</v>
      </c>
    </row>
    <row r="10" spans="1:33" x14ac:dyDescent="0.2">
      <c r="A10" s="86">
        <f t="shared" si="0"/>
        <v>10</v>
      </c>
      <c r="B10" s="15" t="s">
        <v>8</v>
      </c>
      <c r="E10" s="120"/>
      <c r="F10" s="15" t="str">
        <f>IF(LEFT($B$5,3)="Jan", "July","January")</f>
        <v>January</v>
      </c>
      <c r="G10" s="39"/>
      <c r="H10" s="15" t="str">
        <f>IF(LEFT($B$5,3)="Jan", "August","February")</f>
        <v>February</v>
      </c>
      <c r="I10" s="39"/>
      <c r="J10" s="15" t="str">
        <f>IF(LEFT($B$5,3)="Jan", "September","March")</f>
        <v>March</v>
      </c>
      <c r="K10" s="39"/>
      <c r="L10" s="15" t="str">
        <f>IF(LEFT($B$5,3)="Jan", "October","April")</f>
        <v>April</v>
      </c>
      <c r="M10" s="39"/>
      <c r="N10" s="15" t="str">
        <f>IF(LEFT($B$5,3)="Jan", "November","May")</f>
        <v>May</v>
      </c>
      <c r="O10" s="39"/>
      <c r="P10" s="15" t="str">
        <f>IF(LEFT($B$5,3)="Jan", "December","June")</f>
        <v>June</v>
      </c>
      <c r="Q10" s="142"/>
      <c r="R10" s="15" t="s">
        <v>22</v>
      </c>
      <c r="S10" s="39"/>
      <c r="T10" s="15" t="s">
        <v>23</v>
      </c>
      <c r="U10" s="39"/>
      <c r="V10" s="15" t="s">
        <v>24</v>
      </c>
      <c r="W10" s="39"/>
      <c r="X10" s="15" t="s">
        <v>25</v>
      </c>
      <c r="Y10" s="39"/>
      <c r="Z10" s="15" t="s">
        <v>26</v>
      </c>
      <c r="AA10" s="39"/>
      <c r="AB10" s="15" t="s">
        <v>27</v>
      </c>
      <c r="AC10" s="17"/>
      <c r="AD10" s="40" t="s">
        <v>94</v>
      </c>
    </row>
    <row r="11" spans="1:33" x14ac:dyDescent="0.2">
      <c r="A11" s="86">
        <f t="shared" si="0"/>
        <v>11</v>
      </c>
      <c r="D11" s="86" t="s">
        <v>5</v>
      </c>
      <c r="E11" s="115"/>
      <c r="F11" s="118"/>
      <c r="G11" s="39"/>
      <c r="H11" s="118"/>
      <c r="I11" s="39"/>
      <c r="J11" s="118"/>
      <c r="K11" s="39"/>
      <c r="L11" s="118"/>
      <c r="M11" s="39"/>
      <c r="N11" s="118"/>
      <c r="O11" s="39"/>
      <c r="P11" s="118"/>
      <c r="Q11" s="142"/>
      <c r="R11" s="118"/>
      <c r="S11" s="39"/>
      <c r="T11" s="118"/>
      <c r="U11" s="39"/>
      <c r="V11" s="118"/>
      <c r="W11" s="39"/>
      <c r="X11" s="118"/>
      <c r="Y11" s="39"/>
      <c r="Z11" s="118"/>
      <c r="AA11" s="39"/>
      <c r="AB11" s="118"/>
      <c r="AC11" s="17"/>
      <c r="AD11" s="41"/>
    </row>
    <row r="12" spans="1:33" x14ac:dyDescent="0.2">
      <c r="A12" s="86">
        <f t="shared" si="0"/>
        <v>12</v>
      </c>
      <c r="B12" s="42" t="s">
        <v>35</v>
      </c>
      <c r="D12" s="86"/>
      <c r="E12" s="115"/>
      <c r="F12" s="118"/>
      <c r="G12" s="39"/>
      <c r="H12" s="118"/>
      <c r="I12" s="39"/>
      <c r="J12" s="118"/>
      <c r="K12" s="39"/>
      <c r="L12" s="118"/>
      <c r="M12" s="39"/>
      <c r="N12" s="118"/>
      <c r="O12" s="39"/>
      <c r="P12" s="118"/>
      <c r="Q12" s="142"/>
      <c r="R12" s="118"/>
      <c r="S12" s="39"/>
      <c r="T12" s="118"/>
      <c r="U12" s="39"/>
      <c r="V12" s="118"/>
      <c r="W12" s="39"/>
      <c r="X12" s="118"/>
      <c r="Y12" s="39"/>
      <c r="Z12" s="118"/>
      <c r="AA12" s="39"/>
      <c r="AB12" s="118"/>
      <c r="AC12" s="17"/>
      <c r="AD12" s="41"/>
    </row>
    <row r="13" spans="1:33" s="6" customFormat="1" x14ac:dyDescent="0.2">
      <c r="A13" s="66">
        <f t="shared" si="0"/>
        <v>13</v>
      </c>
      <c r="B13" s="6" t="s">
        <v>108</v>
      </c>
      <c r="E13" s="147"/>
      <c r="F13" s="32">
        <v>-43123853</v>
      </c>
      <c r="G13" s="32"/>
      <c r="H13" s="32">
        <v>-43952994</v>
      </c>
      <c r="I13" s="32"/>
      <c r="J13" s="32">
        <v>-40600668</v>
      </c>
      <c r="K13" s="32"/>
      <c r="L13" s="32">
        <v>-36758103</v>
      </c>
      <c r="M13" s="32"/>
      <c r="N13" s="32">
        <v>-34928185</v>
      </c>
      <c r="O13" s="32"/>
      <c r="P13" s="32">
        <v>-37558101</v>
      </c>
      <c r="Q13" s="32"/>
      <c r="R13" s="32">
        <v>-50119972</v>
      </c>
      <c r="S13" s="43"/>
      <c r="T13" s="32">
        <v>-54526460</v>
      </c>
      <c r="U13" s="32"/>
      <c r="V13" s="32">
        <v>-46223575</v>
      </c>
      <c r="W13" s="43"/>
      <c r="X13" s="32">
        <v>-39298034</v>
      </c>
      <c r="Y13" s="43"/>
      <c r="Z13" s="32">
        <v>-39196466</v>
      </c>
      <c r="AA13" s="43"/>
      <c r="AB13" s="32">
        <v>-45352214</v>
      </c>
      <c r="AC13" s="32"/>
      <c r="AD13" s="32">
        <f>SUM(F13:AB13)</f>
        <v>-511638625</v>
      </c>
      <c r="AF13" s="29"/>
      <c r="AG13" s="33"/>
    </row>
    <row r="14" spans="1:33" s="6" customFormat="1" x14ac:dyDescent="0.2">
      <c r="A14" s="66">
        <f t="shared" si="0"/>
        <v>14</v>
      </c>
      <c r="E14" s="16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43"/>
      <c r="T14" s="32"/>
      <c r="U14" s="32"/>
      <c r="V14" s="32"/>
      <c r="W14" s="43"/>
      <c r="X14" s="32"/>
      <c r="Y14" s="43"/>
      <c r="Z14" s="32"/>
      <c r="AA14" s="43"/>
      <c r="AB14" s="32"/>
      <c r="AC14" s="32"/>
      <c r="AD14" s="32"/>
      <c r="AF14" s="29"/>
      <c r="AG14" s="33"/>
    </row>
    <row r="15" spans="1:33" s="6" customFormat="1" x14ac:dyDescent="0.2">
      <c r="A15" s="66">
        <f t="shared" si="0"/>
        <v>15</v>
      </c>
      <c r="B15" s="11" t="s">
        <v>176</v>
      </c>
      <c r="E15" s="16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43"/>
      <c r="T15" s="32"/>
      <c r="U15" s="32"/>
      <c r="V15" s="32"/>
      <c r="W15" s="43"/>
      <c r="X15" s="32"/>
      <c r="Y15" s="43"/>
      <c r="Z15" s="32"/>
      <c r="AA15" s="43"/>
      <c r="AB15" s="32"/>
      <c r="AC15" s="32"/>
      <c r="AD15" s="32"/>
      <c r="AF15" s="29"/>
      <c r="AG15" s="33"/>
    </row>
    <row r="16" spans="1:33" s="6" customFormat="1" x14ac:dyDescent="0.2">
      <c r="A16" s="66">
        <f t="shared" si="0"/>
        <v>16</v>
      </c>
      <c r="B16" s="169" t="s">
        <v>178</v>
      </c>
      <c r="E16" s="167"/>
      <c r="F16" s="81">
        <f>'Exh 5A, Pg. 1'!D37</f>
        <v>6338472.8899999997</v>
      </c>
      <c r="G16" s="81"/>
      <c r="H16" s="81">
        <f>'Exh 5A, Pg. 1'!F37</f>
        <v>6337908.6699999999</v>
      </c>
      <c r="I16" s="81"/>
      <c r="J16" s="81">
        <f>'Exh 5A, Pg. 1'!H37</f>
        <v>6340254.1500000004</v>
      </c>
      <c r="K16" s="81"/>
      <c r="L16" s="81">
        <f>'Exh 5A, Pg. 1'!J37</f>
        <v>6338454.2800000003</v>
      </c>
      <c r="M16" s="81"/>
      <c r="N16" s="81">
        <f>'Exh 5A, Pg. 1'!L37</f>
        <v>-1811539.43</v>
      </c>
      <c r="O16" s="81"/>
      <c r="P16" s="81">
        <f>'Exh 5A, Pg. 1'!N37</f>
        <v>5886790.3200000003</v>
      </c>
      <c r="Q16" s="81"/>
      <c r="R16" s="81">
        <f>'Exh 5A, Pg. 2'!D37</f>
        <v>6363811.54</v>
      </c>
      <c r="S16" s="90"/>
      <c r="T16" s="81">
        <f>'Exh 5A, Pg. 2'!F37</f>
        <v>6397832.4899999993</v>
      </c>
      <c r="U16" s="81"/>
      <c r="V16" s="81">
        <f>'Exh 5A, Pg. 2'!H37</f>
        <v>6392353.8600000003</v>
      </c>
      <c r="W16" s="90"/>
      <c r="X16" s="81">
        <f>'Exh 5A, Pg. 2'!J37</f>
        <v>6403717.54</v>
      </c>
      <c r="Y16" s="90"/>
      <c r="Z16" s="81">
        <f>'Exh 5A, Pg. 2'!L37</f>
        <v>6421727.6800000006</v>
      </c>
      <c r="AA16" s="90"/>
      <c r="AB16" s="81">
        <f>'Exh 5A, Pg. 2'!N37</f>
        <v>6392382.7400000002</v>
      </c>
      <c r="AC16" s="81"/>
      <c r="AD16" s="81">
        <f>SUM(F16:AB16)</f>
        <v>67802166.730000004</v>
      </c>
      <c r="AF16" s="29"/>
      <c r="AG16" s="33"/>
    </row>
    <row r="17" spans="1:33" s="6" customFormat="1" x14ac:dyDescent="0.2">
      <c r="A17" s="66">
        <f t="shared" si="0"/>
        <v>17</v>
      </c>
      <c r="B17" s="169" t="s">
        <v>2</v>
      </c>
      <c r="E17" s="167"/>
      <c r="F17" s="81">
        <f>'Exh 5A, Pg. 1'!D42</f>
        <v>30970361.550000001</v>
      </c>
      <c r="G17" s="81"/>
      <c r="H17" s="81">
        <f>'Exh 5A, Pg. 1'!F42</f>
        <v>36513233.740000002</v>
      </c>
      <c r="I17" s="81"/>
      <c r="J17" s="81">
        <f>'Exh 5A, Pg. 1'!H42</f>
        <v>32386946.640000001</v>
      </c>
      <c r="K17" s="81"/>
      <c r="L17" s="81">
        <f>'Exh 5A, Pg. 1'!J42</f>
        <v>30685364.18</v>
      </c>
      <c r="M17" s="81"/>
      <c r="N17" s="81">
        <f>'Exh 5A, Pg. 1'!L42</f>
        <v>25135369.359999999</v>
      </c>
      <c r="O17" s="81"/>
      <c r="P17" s="81">
        <f>'Exh 5A, Pg. 1'!N42</f>
        <v>27510344.379999999</v>
      </c>
      <c r="Q17" s="81"/>
      <c r="R17" s="81">
        <f>'Exh 5A, Pg. 2'!D42</f>
        <v>36898020.469999999</v>
      </c>
      <c r="S17" s="90"/>
      <c r="T17" s="81">
        <f>'Exh 5A, Pg. 2'!F42</f>
        <v>44480382.82</v>
      </c>
      <c r="U17" s="81"/>
      <c r="V17" s="81">
        <f>'Exh 5A, Pg. 2'!H42</f>
        <v>42015670.329999998</v>
      </c>
      <c r="W17" s="90"/>
      <c r="X17" s="81">
        <f>'Exh 5A, Pg. 2'!J42</f>
        <v>34161380.939999998</v>
      </c>
      <c r="Y17" s="90"/>
      <c r="Z17" s="81">
        <f>'Exh 5A, Pg. 2'!L42</f>
        <v>30887547.699999999</v>
      </c>
      <c r="AA17" s="90"/>
      <c r="AB17" s="81">
        <f>'Exh 5A, Pg. 2'!N42</f>
        <v>29792694.129999999</v>
      </c>
      <c r="AC17" s="81"/>
      <c r="AD17" s="81">
        <f t="shared" ref="AD17:AD24" si="1">SUM(F17:AB17)</f>
        <v>401437316.24000001</v>
      </c>
      <c r="AF17" s="29"/>
      <c r="AG17" s="33"/>
    </row>
    <row r="18" spans="1:33" s="6" customFormat="1" x14ac:dyDescent="0.2">
      <c r="A18" s="66">
        <f t="shared" si="0"/>
        <v>18</v>
      </c>
      <c r="B18" s="169" t="s">
        <v>3</v>
      </c>
      <c r="E18" s="167"/>
      <c r="F18" s="81">
        <f>'Exh 5A, Pg. 1'!D47</f>
        <v>445353.91</v>
      </c>
      <c r="G18" s="81"/>
      <c r="H18" s="81">
        <f>'Exh 5A, Pg. 1'!F47</f>
        <v>525060.43000000005</v>
      </c>
      <c r="I18" s="81"/>
      <c r="J18" s="81">
        <f>'Exh 5A, Pg. 1'!H47</f>
        <v>465724.4</v>
      </c>
      <c r="K18" s="81"/>
      <c r="L18" s="81">
        <f>'Exh 5A, Pg. 1'!J47</f>
        <v>441255.64</v>
      </c>
      <c r="M18" s="81"/>
      <c r="N18" s="81">
        <f>'Exh 5A, Pg. 1'!L47</f>
        <v>361446.7</v>
      </c>
      <c r="O18" s="81"/>
      <c r="P18" s="81">
        <f>'Exh 5A, Pg. 1'!N47</f>
        <v>395598.85</v>
      </c>
      <c r="Q18" s="81"/>
      <c r="R18" s="81">
        <f>'Exh 5A, Pg. 2'!D47</f>
        <v>525231.22</v>
      </c>
      <c r="S18" s="90"/>
      <c r="T18" s="81">
        <f>'Exh 5A, Pg. 2'!F47</f>
        <v>633163.67000000004</v>
      </c>
      <c r="U18" s="81"/>
      <c r="V18" s="81">
        <f>'Exh 5A, Pg. 2'!H47</f>
        <v>598079.29</v>
      </c>
      <c r="W18" s="90"/>
      <c r="X18" s="81">
        <f>'Exh 5A, Pg. 2'!J47</f>
        <v>486276.06</v>
      </c>
      <c r="Y18" s="90"/>
      <c r="Z18" s="81">
        <f>'Exh 5A, Pg. 2'!L47</f>
        <v>439674.11</v>
      </c>
      <c r="AA18" s="90"/>
      <c r="AB18" s="81">
        <f>'Exh 5A, Pg. 2'!N47</f>
        <v>424089.23</v>
      </c>
      <c r="AC18" s="81"/>
      <c r="AD18" s="81">
        <f t="shared" si="1"/>
        <v>5740953.5099999998</v>
      </c>
      <c r="AF18" s="29"/>
      <c r="AG18" s="33"/>
    </row>
    <row r="19" spans="1:33" s="6" customFormat="1" x14ac:dyDescent="0.2">
      <c r="A19" s="66">
        <f t="shared" si="0"/>
        <v>19</v>
      </c>
      <c r="B19" s="169" t="s">
        <v>4</v>
      </c>
      <c r="E19" s="167"/>
      <c r="F19" s="81">
        <f>'Exh 5A, Pg. 1'!D52+'Exh 5A, Pg. 1'!D53+'Exh 5A, Pg. 1'!D54+'Exh 5A, Pg. 1'!D55</f>
        <v>629309.6</v>
      </c>
      <c r="G19" s="81"/>
      <c r="H19" s="81">
        <f>'Exh 5A, Pg. 1'!F52+'Exh 5A, Pg. 1'!F53+'Exh 5A, Pg. 1'!F54+'Exh 5A, Pg. 1'!F55</f>
        <v>522000.07</v>
      </c>
      <c r="I19" s="81"/>
      <c r="J19" s="81">
        <f>'Exh 5A, Pg. 1'!H52+'Exh 5A, Pg. 1'!H53+'Exh 5A, Pg. 1'!H54+'Exh 5A, Pg. 1'!H55</f>
        <v>487684.04000000004</v>
      </c>
      <c r="K19" s="81"/>
      <c r="L19" s="81">
        <f>'Exh 5A, Pg. 1'!J52+'Exh 5A, Pg. 1'!J53+'Exh 5A, Pg. 1'!J54+'Exh 5A, Pg. 1'!J55</f>
        <v>582347.78</v>
      </c>
      <c r="M19" s="81"/>
      <c r="N19" s="81">
        <f>'Exh 5A, Pg. 1'!L52+'Exh 5A, Pg. 1'!L53+'Exh 5A, Pg. 1'!L54+'Exh 5A, Pg. 1'!L55</f>
        <v>659343.05999999994</v>
      </c>
      <c r="O19" s="81"/>
      <c r="P19" s="81">
        <f>'Exh 5A, Pg. 1'!N52+'Exh 5A, Pg. 1'!N53+'Exh 5A, Pg. 1'!N54+'Exh 5A, Pg. 1'!N55</f>
        <v>536059.93000000005</v>
      </c>
      <c r="Q19" s="81"/>
      <c r="R19" s="81">
        <f>'Exh 5A, Pg. 2'!D52+'Exh 5A, Pg. 2'!D53+'Exh 5A, Pg. 2'!D54+'Exh 5A, Pg. 2'!D55</f>
        <v>587401.12</v>
      </c>
      <c r="S19" s="90"/>
      <c r="T19" s="81">
        <f>'Exh 5A, Pg. 2'!F52+'Exh 5A, Pg. 2'!F53+'Exh 5A, Pg. 2'!F54+'Exh 5A, Pg. 2'!F55</f>
        <v>707805.64</v>
      </c>
      <c r="U19" s="81"/>
      <c r="V19" s="81">
        <f>'Exh 5A, Pg. 2'!H52+'Exh 5A, Pg. 2'!H53+'Exh 5A, Pg. 2'!H54+'Exh 5A, Pg. 2'!H55</f>
        <v>505261.61000000004</v>
      </c>
      <c r="W19" s="90"/>
      <c r="X19" s="81">
        <f>'Exh 5A, Pg. 2'!J52+'Exh 5A, Pg. 2'!J53+'Exh 5A, Pg. 2'!J54+'Exh 5A, Pg. 2'!J55</f>
        <v>652867.43999999994</v>
      </c>
      <c r="Y19" s="90"/>
      <c r="Z19" s="81">
        <f>'Exh 5A, Pg. 2'!L52+'Exh 5A, Pg. 2'!L53+'Exh 5A, Pg. 2'!L54+'Exh 5A, Pg. 2'!L55</f>
        <v>637660.97</v>
      </c>
      <c r="AA19" s="90"/>
      <c r="AB19" s="81">
        <f>'Exh 5A, Pg. 2'!N52+'Exh 5A, Pg. 2'!N53+'Exh 5A, Pg. 2'!N54+'Exh 5A, Pg. 2'!N55</f>
        <v>692853.9800000001</v>
      </c>
      <c r="AC19" s="81"/>
      <c r="AD19" s="81">
        <f t="shared" si="1"/>
        <v>7200595.2400000012</v>
      </c>
      <c r="AF19" s="29"/>
      <c r="AG19" s="33"/>
    </row>
    <row r="20" spans="1:33" s="6" customFormat="1" x14ac:dyDescent="0.2">
      <c r="A20" s="66">
        <f t="shared" si="0"/>
        <v>20</v>
      </c>
      <c r="B20" s="170" t="s">
        <v>109</v>
      </c>
      <c r="E20" s="167"/>
      <c r="F20" s="81">
        <f>'Exh 5A, Pg. 1'!D49</f>
        <v>-629621.93999999994</v>
      </c>
      <c r="G20" s="81"/>
      <c r="H20" s="81">
        <f>'Exh 5A, Pg. 1'!F49</f>
        <v>-522229.45</v>
      </c>
      <c r="I20" s="81"/>
      <c r="J20" s="81">
        <f>'Exh 5A, Pg. 1'!H49</f>
        <v>-487816.14</v>
      </c>
      <c r="K20" s="81"/>
      <c r="L20" s="81">
        <f>'Exh 5A, Pg. 1'!J49</f>
        <v>-582347.78</v>
      </c>
      <c r="M20" s="81"/>
      <c r="N20" s="81">
        <f>'Exh 5A, Pg. 1'!L49</f>
        <v>-659343.06000000006</v>
      </c>
      <c r="O20" s="81"/>
      <c r="P20" s="81">
        <f>'Exh 5A, Pg. 1'!N49</f>
        <v>-536059.93000000005</v>
      </c>
      <c r="Q20" s="81"/>
      <c r="R20" s="81">
        <f>'Exh 5A, Pg. 2'!D49</f>
        <v>-587401.12</v>
      </c>
      <c r="S20" s="90"/>
      <c r="T20" s="81">
        <f>'Exh 5A, Pg. 2'!F49</f>
        <v>-707805.64</v>
      </c>
      <c r="U20" s="81"/>
      <c r="V20" s="81">
        <f>'Exh 5A, Pg. 2'!H49</f>
        <v>-505261.61</v>
      </c>
      <c r="W20" s="90"/>
      <c r="X20" s="81">
        <f>'Exh 5A, Pg. 2'!J49</f>
        <v>-652867.43999999994</v>
      </c>
      <c r="Y20" s="90"/>
      <c r="Z20" s="81">
        <f>'Exh 5A, Pg. 2'!L49</f>
        <v>-634294.30000000005</v>
      </c>
      <c r="AA20" s="90"/>
      <c r="AB20" s="81">
        <f>'Exh 5A, Pg. 2'!N49</f>
        <v>-696220.65</v>
      </c>
      <c r="AC20" s="81"/>
      <c r="AD20" s="81">
        <f t="shared" si="1"/>
        <v>-7201269.0599999996</v>
      </c>
      <c r="AF20" s="29"/>
      <c r="AG20" s="33"/>
    </row>
    <row r="21" spans="1:33" s="6" customFormat="1" x14ac:dyDescent="0.2">
      <c r="A21" s="66">
        <f t="shared" si="0"/>
        <v>21</v>
      </c>
      <c r="B21" s="170" t="s">
        <v>110</v>
      </c>
      <c r="E21" s="167"/>
      <c r="F21" s="81">
        <f>'Exh 5A, Pg. 1'!D50</f>
        <v>53491</v>
      </c>
      <c r="G21" s="81"/>
      <c r="H21" s="81">
        <f>'Exh 5A, Pg. 1'!F50</f>
        <v>44370</v>
      </c>
      <c r="I21" s="81"/>
      <c r="J21" s="81">
        <f>'Exh 5A, Pg. 1'!H50</f>
        <v>41453</v>
      </c>
      <c r="K21" s="81"/>
      <c r="L21" s="81">
        <f>'Exh 5A, Pg. 1'!J50</f>
        <v>49500</v>
      </c>
      <c r="M21" s="81"/>
      <c r="N21" s="81">
        <f>'Exh 5A, Pg. 1'!L50</f>
        <v>56044</v>
      </c>
      <c r="O21" s="81"/>
      <c r="P21" s="81">
        <f>'Exh 5A, Pg. 1'!N50</f>
        <v>45565</v>
      </c>
      <c r="Q21" s="81"/>
      <c r="R21" s="81">
        <f>'Exh 5A, Pg. 2'!D50</f>
        <v>49929</v>
      </c>
      <c r="S21" s="90"/>
      <c r="T21" s="81">
        <f>'Exh 5A, Pg. 2'!F50</f>
        <v>60163</v>
      </c>
      <c r="U21" s="81"/>
      <c r="V21" s="81">
        <f>'Exh 5A, Pg. 2'!H50</f>
        <v>42947</v>
      </c>
      <c r="W21" s="90"/>
      <c r="X21" s="81">
        <f>'Exh 5A, Pg. 2'!J50</f>
        <v>55494</v>
      </c>
      <c r="Y21" s="90"/>
      <c r="Z21" s="81">
        <f>'Exh 5A, Pg. 2'!L50</f>
        <v>53915</v>
      </c>
      <c r="AA21" s="90"/>
      <c r="AB21" s="81">
        <f>'Exh 5A, Pg. 2'!N50</f>
        <v>59179</v>
      </c>
      <c r="AC21" s="81"/>
      <c r="AD21" s="81">
        <f t="shared" si="1"/>
        <v>612050</v>
      </c>
      <c r="AF21" s="29"/>
      <c r="AG21" s="33"/>
    </row>
    <row r="22" spans="1:33" s="6" customFormat="1" x14ac:dyDescent="0.2">
      <c r="A22" s="66">
        <f t="shared" si="0"/>
        <v>22</v>
      </c>
      <c r="B22" s="169" t="s">
        <v>131</v>
      </c>
      <c r="E22" s="167"/>
      <c r="F22" s="81">
        <f>'Exh 5A, Pg. 1'!D51</f>
        <v>-1750361.71</v>
      </c>
      <c r="G22" s="81"/>
      <c r="H22" s="81">
        <f>'Exh 5A, Pg. 1'!F51</f>
        <v>-1713945.3</v>
      </c>
      <c r="I22" s="81"/>
      <c r="J22" s="81">
        <f>'Exh 5A, Pg. 1'!H51</f>
        <v>-1702494.76</v>
      </c>
      <c r="K22" s="81"/>
      <c r="L22" s="81">
        <f>'Exh 5A, Pg. 1'!J51</f>
        <v>-1698334.81</v>
      </c>
      <c r="M22" s="81"/>
      <c r="N22" s="81">
        <f>'Exh 5A, Pg. 1'!L51</f>
        <v>-1763225.37</v>
      </c>
      <c r="O22" s="81"/>
      <c r="P22" s="81">
        <f>'Exh 5A, Pg. 1'!N51</f>
        <v>-1774207.92</v>
      </c>
      <c r="Q22" s="81"/>
      <c r="R22" s="81">
        <f>'Exh 5A, Pg. 2'!D51</f>
        <v>-1260181.72</v>
      </c>
      <c r="S22" s="90"/>
      <c r="T22" s="81">
        <f>'Exh 5A, Pg. 2'!F51</f>
        <v>-1262607.45</v>
      </c>
      <c r="U22" s="81"/>
      <c r="V22" s="81">
        <f>'Exh 5A, Pg. 2'!H51</f>
        <v>-1260951.3700000001</v>
      </c>
      <c r="W22" s="90"/>
      <c r="X22" s="81">
        <f>'Exh 5A, Pg. 2'!J51</f>
        <v>-1264452.42</v>
      </c>
      <c r="Y22" s="90"/>
      <c r="Z22" s="81">
        <f>'Exh 5A, Pg. 2'!L51</f>
        <v>-1273530.49</v>
      </c>
      <c r="AA22" s="90"/>
      <c r="AB22" s="81">
        <f>'Exh 5A, Pg. 2'!N51</f>
        <v>-1273076.0900000001</v>
      </c>
      <c r="AC22" s="81"/>
      <c r="AD22" s="81">
        <f t="shared" si="1"/>
        <v>-17997369.41</v>
      </c>
      <c r="AF22" s="29"/>
      <c r="AG22" s="33"/>
    </row>
    <row r="23" spans="1:33" s="6" customFormat="1" x14ac:dyDescent="0.2">
      <c r="A23" s="66">
        <f t="shared" si="0"/>
        <v>23</v>
      </c>
      <c r="B23" s="169" t="s">
        <v>104</v>
      </c>
      <c r="E23" s="167"/>
      <c r="F23" s="81">
        <f>'Exh 5A, Pg. 1'!D59</f>
        <v>49868.49</v>
      </c>
      <c r="G23" s="81"/>
      <c r="H23" s="81">
        <f>'Exh 5A, Pg. 1'!F59</f>
        <v>46153.08</v>
      </c>
      <c r="I23" s="81"/>
      <c r="J23" s="81">
        <f>'Exh 5A, Pg. 1'!H59</f>
        <v>54000.08</v>
      </c>
      <c r="K23" s="81"/>
      <c r="L23" s="81">
        <f>'Exh 5A, Pg. 1'!J59</f>
        <v>0</v>
      </c>
      <c r="M23" s="81"/>
      <c r="N23" s="81">
        <f>'Exh 5A, Pg. 1'!L59</f>
        <v>21551.78</v>
      </c>
      <c r="O23" s="81"/>
      <c r="P23" s="81">
        <f>'Exh 5A, Pg. 1'!N59</f>
        <v>-77.52</v>
      </c>
      <c r="Q23" s="81"/>
      <c r="R23" s="81">
        <f>'Exh 5A, Pg. 2'!D59</f>
        <v>814.71</v>
      </c>
      <c r="S23" s="90"/>
      <c r="T23" s="81">
        <f>'Exh 5A, Pg. 2'!F59</f>
        <v>4242.3999999999996</v>
      </c>
      <c r="U23" s="81"/>
      <c r="V23" s="81">
        <f>'Exh 5A, Pg. 2'!H59</f>
        <v>45050.6</v>
      </c>
      <c r="W23" s="90"/>
      <c r="X23" s="81">
        <f>'Exh 5A, Pg. 2'!J59</f>
        <v>547.20000000000005</v>
      </c>
      <c r="Y23" s="90"/>
      <c r="Z23" s="81">
        <f>'Exh 5A, Pg. 2'!L59</f>
        <v>1256.3399999999999</v>
      </c>
      <c r="AA23" s="90"/>
      <c r="AB23" s="81">
        <f>'Exh 5A, Pg. 2'!N59</f>
        <v>0</v>
      </c>
      <c r="AC23" s="81"/>
      <c r="AD23" s="81">
        <f t="shared" si="1"/>
        <v>223407.16000000003</v>
      </c>
      <c r="AF23" s="29"/>
      <c r="AG23" s="33"/>
    </row>
    <row r="24" spans="1:33" s="6" customFormat="1" x14ac:dyDescent="0.2">
      <c r="A24" s="66">
        <f t="shared" si="0"/>
        <v>24</v>
      </c>
      <c r="B24" s="169" t="s">
        <v>6</v>
      </c>
      <c r="E24" s="167"/>
      <c r="F24" s="82">
        <f>'Exh 5A, Pg. 1'!D61</f>
        <v>3006189</v>
      </c>
      <c r="G24" s="81"/>
      <c r="H24" s="82">
        <f>'Exh 5A, Pg. 1'!F61</f>
        <v>3072020</v>
      </c>
      <c r="I24" s="81"/>
      <c r="J24" s="82">
        <f>'Exh 5A, Pg. 1'!H61</f>
        <v>2826738</v>
      </c>
      <c r="K24" s="81"/>
      <c r="L24" s="82">
        <f>'Exh 5A, Pg. 1'!J61</f>
        <v>2550722</v>
      </c>
      <c r="M24" s="81"/>
      <c r="N24" s="82">
        <f>'Exh 5A, Pg. 1'!L61</f>
        <v>2449769</v>
      </c>
      <c r="O24" s="81"/>
      <c r="P24" s="82">
        <f>'Exh 5A, Pg. 1'!N61</f>
        <v>2626347</v>
      </c>
      <c r="Q24" s="81"/>
      <c r="R24" s="82">
        <f>'Exh 5A, Pg. 2'!D61</f>
        <v>3491686</v>
      </c>
      <c r="S24" s="90"/>
      <c r="T24" s="82">
        <f>'Exh 5A, Pg. 2'!F61</f>
        <v>3809432</v>
      </c>
      <c r="U24" s="81"/>
      <c r="V24" s="82">
        <f>'Exh 5A, Pg. 2'!H61</f>
        <v>3236522</v>
      </c>
      <c r="W24" s="90"/>
      <c r="X24" s="82">
        <f>'Exh 5A, Pg. 2'!J61</f>
        <v>2752504</v>
      </c>
      <c r="Y24" s="90"/>
      <c r="Z24" s="82">
        <f>'Exh 5A, Pg. 2'!L61</f>
        <v>2748492</v>
      </c>
      <c r="AA24" s="90"/>
      <c r="AB24" s="82">
        <f>'Exh 5A, Pg. 2'!N61</f>
        <v>3155611</v>
      </c>
      <c r="AC24" s="81"/>
      <c r="AD24" s="82">
        <f t="shared" si="1"/>
        <v>35726032</v>
      </c>
      <c r="AF24" s="29"/>
      <c r="AG24" s="33"/>
    </row>
    <row r="25" spans="1:33" s="6" customFormat="1" x14ac:dyDescent="0.2">
      <c r="A25" s="66">
        <f t="shared" si="0"/>
        <v>25</v>
      </c>
      <c r="B25" s="11" t="s">
        <v>36</v>
      </c>
      <c r="E25" s="147"/>
      <c r="F25" s="82">
        <f>SUM(F16:F24)</f>
        <v>39113062.789999999</v>
      </c>
      <c r="G25" s="90"/>
      <c r="H25" s="82">
        <f>SUM(H16:H24)</f>
        <v>44824571.240000002</v>
      </c>
      <c r="I25" s="90"/>
      <c r="J25" s="82">
        <f>SUM(J16:J24)</f>
        <v>40412489.409999996</v>
      </c>
      <c r="K25" s="90"/>
      <c r="L25" s="82">
        <f>SUM(L16:L24)</f>
        <v>38366961.289999999</v>
      </c>
      <c r="M25" s="90"/>
      <c r="N25" s="82">
        <f>SUM(N16:N24)</f>
        <v>24449416.039999999</v>
      </c>
      <c r="O25" s="90"/>
      <c r="P25" s="82">
        <f>SUM(P16:P24)</f>
        <v>34690360.109999999</v>
      </c>
      <c r="Q25" s="90"/>
      <c r="R25" s="82">
        <f>SUM(R16:R24)</f>
        <v>46069311.219999999</v>
      </c>
      <c r="S25" s="90"/>
      <c r="T25" s="82">
        <f>SUM(T16:T24)</f>
        <v>54122608.93</v>
      </c>
      <c r="U25" s="90"/>
      <c r="V25" s="82">
        <f>SUM(V16:V24)</f>
        <v>51069671.710000001</v>
      </c>
      <c r="W25" s="90"/>
      <c r="X25" s="82">
        <f>SUM(X16:X24)</f>
        <v>42595467.32</v>
      </c>
      <c r="Y25" s="90"/>
      <c r="Z25" s="82">
        <f>SUM(Z16:Z24)</f>
        <v>39282449.010000005</v>
      </c>
      <c r="AA25" s="90"/>
      <c r="AB25" s="82">
        <f>SUM(AB16:AB24)</f>
        <v>38547513.339999989</v>
      </c>
      <c r="AC25" s="90"/>
      <c r="AD25" s="82">
        <f>SUM(F25:AB25)</f>
        <v>493543882.40999991</v>
      </c>
      <c r="AF25" s="29"/>
      <c r="AG25" s="33"/>
    </row>
    <row r="26" spans="1:33" s="6" customFormat="1" x14ac:dyDescent="0.2">
      <c r="A26" s="66">
        <f t="shared" si="0"/>
        <v>26</v>
      </c>
      <c r="B26" s="11"/>
      <c r="E26" s="167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F26" s="29"/>
      <c r="AG26" s="33"/>
    </row>
    <row r="27" spans="1:33" x14ac:dyDescent="0.2">
      <c r="A27" s="66">
        <f t="shared" si="0"/>
        <v>27</v>
      </c>
      <c r="D27" s="66" t="s">
        <v>69</v>
      </c>
      <c r="E27" s="115"/>
      <c r="F27" s="25"/>
      <c r="H27" s="25"/>
      <c r="J27" s="25"/>
      <c r="L27" s="25"/>
      <c r="N27" s="25"/>
      <c r="P27" s="25"/>
      <c r="R27" s="25"/>
      <c r="T27" s="25"/>
      <c r="U27" s="25"/>
      <c r="V27" s="25"/>
      <c r="W27" s="25"/>
      <c r="X27" s="25"/>
      <c r="Y27" s="44"/>
      <c r="Z27" s="25"/>
      <c r="AA27" s="6"/>
      <c r="AB27" s="25"/>
      <c r="AD27" s="25" t="s">
        <v>5</v>
      </c>
    </row>
    <row r="28" spans="1:33" x14ac:dyDescent="0.2">
      <c r="A28" s="66">
        <f t="shared" si="0"/>
        <v>28</v>
      </c>
      <c r="B28" s="42" t="s">
        <v>34</v>
      </c>
      <c r="D28" s="123">
        <v>43466</v>
      </c>
      <c r="E28" s="115"/>
      <c r="F28" s="25"/>
      <c r="H28" s="25"/>
      <c r="J28" s="25"/>
      <c r="L28" s="25"/>
      <c r="N28" s="25"/>
      <c r="P28" s="25"/>
      <c r="R28" s="25"/>
      <c r="T28" s="25"/>
      <c r="U28" s="25"/>
      <c r="V28" s="25"/>
      <c r="W28" s="25"/>
      <c r="X28" s="25"/>
      <c r="Y28" s="44"/>
      <c r="Z28" s="25"/>
      <c r="AA28" s="6"/>
      <c r="AB28" s="25"/>
      <c r="AD28" s="25" t="s">
        <v>5</v>
      </c>
    </row>
    <row r="29" spans="1:33" x14ac:dyDescent="0.2">
      <c r="A29" s="66">
        <f t="shared" si="0"/>
        <v>29</v>
      </c>
      <c r="B29" s="6" t="s">
        <v>169</v>
      </c>
      <c r="C29" s="6"/>
      <c r="D29" s="32">
        <v>1035100</v>
      </c>
      <c r="E29" s="124" t="s">
        <v>5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D29" s="22" t="s">
        <v>5</v>
      </c>
    </row>
    <row r="30" spans="1:33" x14ac:dyDescent="0.2">
      <c r="A30" s="66">
        <f t="shared" si="0"/>
        <v>30</v>
      </c>
      <c r="B30" s="80" t="s">
        <v>90</v>
      </c>
      <c r="D30" s="6"/>
      <c r="E30" s="117"/>
      <c r="F30" s="43">
        <f>F13+F25</f>
        <v>-4010790.2100000009</v>
      </c>
      <c r="G30" s="32"/>
      <c r="H30" s="43">
        <f>H13+H25</f>
        <v>871577.24000000209</v>
      </c>
      <c r="I30" s="43" t="s">
        <v>5</v>
      </c>
      <c r="J30" s="43">
        <f>J13+J25</f>
        <v>-188178.59000000358</v>
      </c>
      <c r="K30" s="32"/>
      <c r="L30" s="43">
        <f>L13+L25</f>
        <v>1608858.2899999991</v>
      </c>
      <c r="M30" s="32"/>
      <c r="N30" s="43">
        <f>N13+N25</f>
        <v>-10478768.960000001</v>
      </c>
      <c r="O30" s="32"/>
      <c r="P30" s="43">
        <f>P13+P25</f>
        <v>-2867740.8900000006</v>
      </c>
      <c r="Q30" s="32"/>
      <c r="R30" s="43">
        <f>R13+R25</f>
        <v>-4050660.7800000012</v>
      </c>
      <c r="S30" s="32"/>
      <c r="T30" s="43">
        <f>T13+T25</f>
        <v>-403851.0700000003</v>
      </c>
      <c r="U30" s="32"/>
      <c r="V30" s="43">
        <f>V13+V25</f>
        <v>4846096.7100000009</v>
      </c>
      <c r="W30" s="32"/>
      <c r="X30" s="43">
        <f>X13+X25</f>
        <v>3297433.3200000003</v>
      </c>
      <c r="Y30" s="32"/>
      <c r="Z30" s="43">
        <f>Z13+Z25</f>
        <v>85983.010000005364</v>
      </c>
      <c r="AA30" s="32"/>
      <c r="AB30" s="43">
        <f>AB13+AB25</f>
        <v>-6804700.6600000113</v>
      </c>
      <c r="AD30" s="21">
        <f>SUM(F30:AB30)</f>
        <v>-18094742.590000011</v>
      </c>
      <c r="AG30" s="69"/>
    </row>
    <row r="31" spans="1:33" s="17" customFormat="1" x14ac:dyDescent="0.2">
      <c r="A31" s="66">
        <f t="shared" si="0"/>
        <v>31</v>
      </c>
      <c r="B31" s="17" t="s">
        <v>92</v>
      </c>
      <c r="D31" s="46"/>
      <c r="E31" s="117"/>
      <c r="F31" s="46">
        <f>D29+F30</f>
        <v>-2975690.2100000009</v>
      </c>
      <c r="G31" s="46"/>
      <c r="H31" s="46">
        <f>F31+H30</f>
        <v>-2104112.9699999988</v>
      </c>
      <c r="I31" s="46" t="s">
        <v>5</v>
      </c>
      <c r="J31" s="46">
        <f>H31+J30</f>
        <v>-2292291.5600000024</v>
      </c>
      <c r="K31" s="46"/>
      <c r="L31" s="46">
        <f>J31+L30</f>
        <v>-683433.27000000328</v>
      </c>
      <c r="M31" s="46" t="s">
        <v>5</v>
      </c>
      <c r="N31" s="46">
        <f>L31+N30</f>
        <v>-11162202.230000004</v>
      </c>
      <c r="O31" s="46" t="s">
        <v>5</v>
      </c>
      <c r="P31" s="46">
        <f>N31+P30</f>
        <v>-14029943.120000005</v>
      </c>
      <c r="Q31" s="46" t="s">
        <v>5</v>
      </c>
      <c r="R31" s="46">
        <f>P31+R30</f>
        <v>-18080603.900000006</v>
      </c>
      <c r="S31" s="11"/>
      <c r="T31" s="46">
        <f>R31+T30</f>
        <v>-18484454.970000006</v>
      </c>
      <c r="U31" s="11"/>
      <c r="V31" s="46">
        <f>T31+V30</f>
        <v>-13638358.260000005</v>
      </c>
      <c r="W31" s="11"/>
      <c r="X31" s="46">
        <f>V31+X30</f>
        <v>-10340924.940000005</v>
      </c>
      <c r="Y31" s="11"/>
      <c r="Z31" s="46">
        <f>X31+Z30</f>
        <v>-10254941.93</v>
      </c>
      <c r="AA31" s="11"/>
      <c r="AB31" s="46">
        <f>Z31+AB30</f>
        <v>-17059642.590000011</v>
      </c>
      <c r="AD31" s="64"/>
      <c r="AF31" s="22"/>
      <c r="AG31" s="69"/>
    </row>
    <row r="32" spans="1:33" x14ac:dyDescent="0.2">
      <c r="A32" s="66">
        <f t="shared" si="0"/>
        <v>32</v>
      </c>
      <c r="B32" s="80" t="s">
        <v>170</v>
      </c>
      <c r="D32" s="140">
        <f>ROUND((D29*0.275175),0)</f>
        <v>284834</v>
      </c>
      <c r="E32" s="117"/>
      <c r="F32" s="140">
        <f>ROUND((F31*$D$41),0)</f>
        <v>-818836</v>
      </c>
      <c r="G32" s="44"/>
      <c r="H32" s="140">
        <f>ROUND((H31*$D$41),0)</f>
        <v>-578999</v>
      </c>
      <c r="I32" s="46"/>
      <c r="J32" s="140">
        <f>ROUND((J31*$D$41),0)</f>
        <v>-630781</v>
      </c>
      <c r="K32" s="46"/>
      <c r="L32" s="140">
        <f>ROUND((L31*$D$41),0)</f>
        <v>-188064</v>
      </c>
      <c r="M32" s="46"/>
      <c r="N32" s="140">
        <f>ROUND((N31*$D$41),0)</f>
        <v>-3071559</v>
      </c>
      <c r="O32" s="46"/>
      <c r="P32" s="140">
        <f>ROUND((P31*$D$41),0)</f>
        <v>-3860690</v>
      </c>
      <c r="Q32" s="46"/>
      <c r="R32" s="140">
        <f>ROUND((R31*$D$41),0)</f>
        <v>-4975330</v>
      </c>
      <c r="S32" s="6"/>
      <c r="T32" s="140">
        <f>ROUND((T31*$D$41),0)</f>
        <v>-5086460</v>
      </c>
      <c r="U32" s="6"/>
      <c r="V32" s="140">
        <f>ROUND((V31*$D$41),0)</f>
        <v>-3752935</v>
      </c>
      <c r="W32" s="6"/>
      <c r="X32" s="140">
        <f>ROUND((X31*$D$41),0)</f>
        <v>-2845564</v>
      </c>
      <c r="Y32" s="6"/>
      <c r="Z32" s="140">
        <f>ROUND((Z31*$D$41),0)</f>
        <v>-2821904</v>
      </c>
      <c r="AA32" s="6"/>
      <c r="AB32" s="140">
        <f>ROUND((AB31*$D$41),0)</f>
        <v>-4694387</v>
      </c>
      <c r="AD32" s="45"/>
      <c r="AG32" s="69"/>
    </row>
    <row r="33" spans="1:33" x14ac:dyDescent="0.2">
      <c r="A33" s="66">
        <f t="shared" si="0"/>
        <v>33</v>
      </c>
      <c r="B33" s="80" t="s">
        <v>62</v>
      </c>
      <c r="D33" s="22">
        <f>D29-D32</f>
        <v>750266</v>
      </c>
      <c r="E33" s="117"/>
      <c r="F33" s="46">
        <f>F31-F32</f>
        <v>-2156854.2100000009</v>
      </c>
      <c r="G33" s="46"/>
      <c r="H33" s="46">
        <f>H31-H32</f>
        <v>-1525113.9699999988</v>
      </c>
      <c r="I33" s="46" t="s">
        <v>5</v>
      </c>
      <c r="J33" s="46">
        <f>J31-J32</f>
        <v>-1661510.5600000024</v>
      </c>
      <c r="K33" s="46"/>
      <c r="L33" s="46">
        <f>L31-L32</f>
        <v>-495369.27000000328</v>
      </c>
      <c r="M33" s="46" t="s">
        <v>5</v>
      </c>
      <c r="N33" s="46">
        <f>N31-N32</f>
        <v>-8090643.2300000042</v>
      </c>
      <c r="O33" s="46" t="s">
        <v>5</v>
      </c>
      <c r="P33" s="46">
        <f>P31-P32</f>
        <v>-10169253.120000005</v>
      </c>
      <c r="Q33" s="46"/>
      <c r="R33" s="46">
        <f>R31-R32</f>
        <v>-13105273.900000006</v>
      </c>
      <c r="S33" s="11"/>
      <c r="T33" s="46">
        <f>T31-T32</f>
        <v>-13397994.970000006</v>
      </c>
      <c r="U33" s="11"/>
      <c r="V33" s="46">
        <f>V31-V32</f>
        <v>-9885423.2600000054</v>
      </c>
      <c r="W33" s="11"/>
      <c r="X33" s="46">
        <f>X31-X32</f>
        <v>-7495360.9400000051</v>
      </c>
      <c r="Y33" s="11"/>
      <c r="Z33" s="46">
        <f>Z31-Z32</f>
        <v>-7433037.9299999997</v>
      </c>
      <c r="AA33" s="11"/>
      <c r="AB33" s="46">
        <f>AB31-AB32</f>
        <v>-12365255.590000011</v>
      </c>
      <c r="AD33" s="25"/>
      <c r="AG33" s="69"/>
    </row>
    <row r="34" spans="1:33" x14ac:dyDescent="0.2">
      <c r="A34" s="66">
        <f t="shared" si="0"/>
        <v>34</v>
      </c>
      <c r="B34" s="80" t="s">
        <v>91</v>
      </c>
      <c r="E34" s="115"/>
      <c r="F34" s="44">
        <f>(D33+F33)/2</f>
        <v>-703294.10500000045</v>
      </c>
      <c r="G34" s="44"/>
      <c r="H34" s="44">
        <f>(F33+H33)/2</f>
        <v>-1840984.0899999999</v>
      </c>
      <c r="I34" s="44" t="s">
        <v>5</v>
      </c>
      <c r="J34" s="44">
        <f>(H33+J33)/2</f>
        <v>-1593312.2650000006</v>
      </c>
      <c r="K34" s="44"/>
      <c r="L34" s="44">
        <f>(J33+L33)/2</f>
        <v>-1078439.9150000028</v>
      </c>
      <c r="M34" s="44" t="s">
        <v>5</v>
      </c>
      <c r="N34" s="44">
        <f>(L33+N33)/2</f>
        <v>-4293006.2500000037</v>
      </c>
      <c r="O34" s="44" t="s">
        <v>5</v>
      </c>
      <c r="P34" s="44">
        <f>(N33+P33)/2</f>
        <v>-9129948.1750000045</v>
      </c>
      <c r="Q34" s="44" t="s">
        <v>5</v>
      </c>
      <c r="R34" s="44">
        <f>(P33+R33)/2</f>
        <v>-11637263.510000005</v>
      </c>
      <c r="S34" s="6"/>
      <c r="T34" s="44">
        <f>(R33+T33)/2</f>
        <v>-13251634.435000006</v>
      </c>
      <c r="U34" s="6"/>
      <c r="V34" s="44">
        <f>(T33+V33)/2</f>
        <v>-11641709.115000006</v>
      </c>
      <c r="W34" s="6"/>
      <c r="X34" s="44">
        <f>(V33+X33)/2</f>
        <v>-8690392.1000000052</v>
      </c>
      <c r="Y34" s="6"/>
      <c r="Z34" s="44">
        <f>(X33+Z33)/2</f>
        <v>-7464199.4350000024</v>
      </c>
      <c r="AA34" s="6"/>
      <c r="AB34" s="44">
        <f>(Z33+AB33)/2</f>
        <v>-9899146.7600000054</v>
      </c>
      <c r="AG34" s="69"/>
    </row>
    <row r="35" spans="1:33" ht="13.5" thickBot="1" x14ac:dyDescent="0.25">
      <c r="A35" s="66">
        <f t="shared" si="0"/>
        <v>35</v>
      </c>
      <c r="B35" s="80" t="s">
        <v>171</v>
      </c>
      <c r="E35" s="115"/>
      <c r="F35" s="47">
        <f>F34*($D$42/12)</f>
        <v>-5298.1489243333363</v>
      </c>
      <c r="G35" s="43"/>
      <c r="H35" s="47">
        <f>H34*($D$42/12)</f>
        <v>-13868.746811333331</v>
      </c>
      <c r="I35" s="43" t="s">
        <v>5</v>
      </c>
      <c r="J35" s="47">
        <f>J34*($D$42/12)</f>
        <v>-12002.952396333338</v>
      </c>
      <c r="K35" s="43"/>
      <c r="L35" s="47">
        <f>L34*($D$42/12)</f>
        <v>-8124.2473596666878</v>
      </c>
      <c r="M35" s="43" t="s">
        <v>5</v>
      </c>
      <c r="N35" s="47">
        <f>N34*($D$43/12)</f>
        <v>-31947.121510416695</v>
      </c>
      <c r="O35" s="43" t="s">
        <v>5</v>
      </c>
      <c r="P35" s="47">
        <f>P34*($D$43/12)</f>
        <v>-67942.031002291696</v>
      </c>
      <c r="Q35" s="43" t="s">
        <v>5</v>
      </c>
      <c r="R35" s="47">
        <f>R34*($D$43/12)</f>
        <v>-86600.635953583376</v>
      </c>
      <c r="S35" s="43"/>
      <c r="T35" s="47">
        <f>T34*($D$43/12)</f>
        <v>-98614.246253791716</v>
      </c>
      <c r="U35" s="43"/>
      <c r="V35" s="47">
        <f>V34*($D$43/12)</f>
        <v>-86633.718664125045</v>
      </c>
      <c r="W35" s="43"/>
      <c r="X35" s="47">
        <f>X34*($D$43/12)</f>
        <v>-64671.001210833376</v>
      </c>
      <c r="Y35" s="43"/>
      <c r="Z35" s="47">
        <f>Z34*($D$43/12)</f>
        <v>-55546.084128791685</v>
      </c>
      <c r="AA35" s="43"/>
      <c r="AB35" s="47">
        <f>AB34*($D$43/12)</f>
        <v>-73666.150472333378</v>
      </c>
      <c r="AC35" s="69"/>
      <c r="AD35" s="60">
        <f>SUM(F35:AB35)</f>
        <v>-604915.08468783367</v>
      </c>
      <c r="AG35" s="69"/>
    </row>
    <row r="36" spans="1:33" ht="13.5" thickTop="1" x14ac:dyDescent="0.2">
      <c r="A36" s="66">
        <f t="shared" si="0"/>
        <v>36</v>
      </c>
      <c r="B36" s="17"/>
      <c r="M36" s="80" t="s">
        <v>5</v>
      </c>
      <c r="O36" s="80" t="s">
        <v>5</v>
      </c>
    </row>
    <row r="37" spans="1:33" x14ac:dyDescent="0.2">
      <c r="A37" s="66">
        <f t="shared" si="0"/>
        <v>37</v>
      </c>
      <c r="B37" s="31" t="s">
        <v>28</v>
      </c>
      <c r="D37" s="146"/>
      <c r="F37" s="25"/>
      <c r="H37" s="25"/>
      <c r="J37" s="25"/>
      <c r="L37" s="25"/>
      <c r="N37" s="25"/>
      <c r="P37" s="25"/>
      <c r="R37" s="25"/>
      <c r="T37" s="25"/>
      <c r="V37" s="25"/>
      <c r="X37" s="25"/>
      <c r="Z37" s="25"/>
      <c r="AB37" s="25"/>
    </row>
    <row r="38" spans="1:33" ht="13.5" thickBot="1" x14ac:dyDescent="0.25">
      <c r="A38" s="66">
        <f t="shared" si="0"/>
        <v>38</v>
      </c>
      <c r="B38" s="11" t="s">
        <v>118</v>
      </c>
      <c r="F38" s="25"/>
      <c r="H38" s="25"/>
      <c r="J38" s="25"/>
      <c r="L38" s="25"/>
      <c r="N38" s="25"/>
      <c r="P38" s="25"/>
      <c r="R38" s="25"/>
      <c r="T38" s="25"/>
      <c r="V38" s="25"/>
      <c r="X38" s="25"/>
      <c r="Z38" s="25"/>
      <c r="AB38" s="25"/>
    </row>
    <row r="39" spans="1:33" x14ac:dyDescent="0.2">
      <c r="A39" s="66">
        <f t="shared" si="0"/>
        <v>39</v>
      </c>
      <c r="B39" s="80" t="s">
        <v>177</v>
      </c>
      <c r="C39" s="6"/>
      <c r="D39" s="6"/>
      <c r="F39" s="25"/>
      <c r="H39" s="25"/>
      <c r="J39" s="25"/>
      <c r="L39" s="25"/>
      <c r="N39" s="25"/>
      <c r="P39" s="25"/>
      <c r="R39" s="25"/>
      <c r="T39" s="25"/>
      <c r="V39" s="25"/>
      <c r="X39" s="143" t="s">
        <v>167</v>
      </c>
      <c r="Y39" s="70"/>
      <c r="Z39" s="70"/>
      <c r="AA39" s="70"/>
      <c r="AB39" s="71"/>
      <c r="AC39" s="70"/>
      <c r="AD39" s="72">
        <f>AB31</f>
        <v>-17059642.590000011</v>
      </c>
    </row>
    <row r="40" spans="1:33" x14ac:dyDescent="0.2">
      <c r="A40" s="66">
        <f t="shared" si="0"/>
        <v>40</v>
      </c>
      <c r="B40" s="6" t="s">
        <v>172</v>
      </c>
      <c r="C40" s="6"/>
      <c r="D40" s="32"/>
      <c r="E40" s="66"/>
      <c r="F40" s="6"/>
      <c r="X40" s="144" t="s">
        <v>168</v>
      </c>
      <c r="Y40" s="17"/>
      <c r="Z40" s="17"/>
      <c r="AA40" s="17"/>
      <c r="AB40" s="17"/>
      <c r="AC40" s="17"/>
      <c r="AD40" s="73">
        <f>AD35</f>
        <v>-604915.08468783367</v>
      </c>
    </row>
    <row r="41" spans="1:33" ht="16.5" thickBot="1" x14ac:dyDescent="0.3">
      <c r="A41" s="66">
        <f t="shared" si="0"/>
        <v>41</v>
      </c>
      <c r="B41" s="148" t="s">
        <v>173</v>
      </c>
      <c r="C41" s="6"/>
      <c r="D41" s="137">
        <v>0.275175</v>
      </c>
      <c r="E41" s="66"/>
      <c r="F41" s="6"/>
      <c r="H41" s="160"/>
      <c r="X41" s="145" t="s">
        <v>160</v>
      </c>
      <c r="Y41" s="74"/>
      <c r="Z41" s="74"/>
      <c r="AA41" s="74"/>
      <c r="AB41" s="74"/>
      <c r="AC41" s="74"/>
      <c r="AD41" s="75">
        <f>AD39+AD40</f>
        <v>-17664557.674687844</v>
      </c>
    </row>
    <row r="42" spans="1:33" x14ac:dyDescent="0.2">
      <c r="A42" s="66">
        <f t="shared" si="0"/>
        <v>42</v>
      </c>
      <c r="B42" s="11" t="s">
        <v>174</v>
      </c>
      <c r="C42" s="6"/>
      <c r="D42" s="138">
        <v>9.0399999999999994E-2</v>
      </c>
      <c r="E42" s="66"/>
      <c r="F42" s="6"/>
    </row>
    <row r="43" spans="1:33" x14ac:dyDescent="0.2">
      <c r="A43" s="66">
        <f t="shared" si="0"/>
        <v>43</v>
      </c>
      <c r="B43" s="11" t="s">
        <v>175</v>
      </c>
      <c r="C43" s="6"/>
      <c r="D43" s="138">
        <v>8.9300000000000004E-2</v>
      </c>
      <c r="E43" s="66"/>
      <c r="F43" s="6"/>
    </row>
    <row r="44" spans="1:33" x14ac:dyDescent="0.2">
      <c r="A44" s="66"/>
      <c r="H44" s="162"/>
      <c r="AD44" s="69"/>
    </row>
    <row r="45" spans="1:33" x14ac:dyDescent="0.2">
      <c r="D45" s="69"/>
    </row>
    <row r="46" spans="1:33" x14ac:dyDescent="0.2">
      <c r="D46" s="69"/>
      <c r="AD46" s="69"/>
    </row>
    <row r="48" spans="1:33" x14ac:dyDescent="0.2">
      <c r="AD48" s="69"/>
    </row>
    <row r="50" spans="6:28" x14ac:dyDescent="0.2">
      <c r="P50" s="24"/>
    </row>
    <row r="52" spans="6:28" x14ac:dyDescent="0.2">
      <c r="F52" s="69"/>
      <c r="H52" s="69"/>
      <c r="J52" s="69"/>
      <c r="L52" s="69"/>
      <c r="N52" s="69"/>
      <c r="P52" s="69"/>
      <c r="R52" s="69"/>
      <c r="T52" s="69"/>
      <c r="V52" s="69"/>
      <c r="X52" s="69"/>
      <c r="Z52" s="69"/>
      <c r="AB52" s="69"/>
    </row>
  </sheetData>
  <mergeCells count="3">
    <mergeCell ref="B4:AD4"/>
    <mergeCell ref="B5:AD5"/>
    <mergeCell ref="B6:AB6"/>
  </mergeCells>
  <phoneticPr fontId="4" type="noConversion"/>
  <printOptions horizontalCentered="1"/>
  <pageMargins left="0.5" right="0" top="1.25" bottom="0.75" header="0.5" footer="0.5"/>
  <pageSetup scale="44" firstPageNumber="2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5"/>
  <sheetViews>
    <sheetView zoomScaleNormal="100" workbookViewId="0"/>
  </sheetViews>
  <sheetFormatPr defaultColWidth="9.140625" defaultRowHeight="12.75" x14ac:dyDescent="0.2"/>
  <cols>
    <col min="1" max="1" width="3" style="86" bestFit="1" customWidth="1"/>
    <col min="2" max="2" width="9.28515625" style="80" bestFit="1" customWidth="1"/>
    <col min="3" max="3" width="1.7109375" style="17" customWidth="1"/>
    <col min="4" max="4" width="9.28515625" style="80" customWidth="1"/>
    <col min="5" max="5" width="3.140625" style="17" customWidth="1"/>
    <col min="6" max="6" width="15.140625" style="80" bestFit="1" customWidth="1"/>
    <col min="7" max="7" width="1.7109375" style="80" customWidth="1"/>
    <col min="8" max="8" width="14.140625" style="80" bestFit="1" customWidth="1"/>
    <col min="9" max="11" width="9.140625" style="80"/>
    <col min="12" max="12" width="15.140625" style="80" bestFit="1" customWidth="1"/>
    <col min="13" max="16384" width="9.140625" style="80"/>
  </cols>
  <sheetData>
    <row r="1" spans="1:19" x14ac:dyDescent="0.2">
      <c r="A1" s="66">
        <v>1</v>
      </c>
      <c r="B1" s="8" t="s">
        <v>73</v>
      </c>
      <c r="C1" s="11"/>
      <c r="D1" s="6"/>
      <c r="E1" s="11"/>
      <c r="F1" s="103"/>
      <c r="G1" s="6"/>
      <c r="H1" s="103"/>
      <c r="I1" s="6"/>
      <c r="J1" s="6"/>
      <c r="K1" s="6"/>
      <c r="M1" s="26" t="s">
        <v>165</v>
      </c>
    </row>
    <row r="2" spans="1:19" x14ac:dyDescent="0.2">
      <c r="A2" s="66">
        <f>A1+1</f>
        <v>2</v>
      </c>
      <c r="B2" s="8" t="str">
        <f>TOC!B2</f>
        <v>Docket No. 20-03-01</v>
      </c>
      <c r="C2" s="11"/>
      <c r="D2" s="6"/>
      <c r="E2" s="11"/>
      <c r="F2" s="103"/>
      <c r="G2" s="6"/>
      <c r="H2" s="103"/>
      <c r="I2" s="6"/>
      <c r="J2" s="134"/>
      <c r="K2" s="6"/>
    </row>
    <row r="3" spans="1:19" x14ac:dyDescent="0.2">
      <c r="A3" s="66">
        <f t="shared" ref="A3:A34" si="0">A2+1</f>
        <v>3</v>
      </c>
      <c r="B3" s="111"/>
      <c r="C3" s="11"/>
      <c r="D3" s="6"/>
      <c r="E3" s="11"/>
      <c r="F3" s="103"/>
      <c r="G3" s="6"/>
      <c r="H3" s="103"/>
      <c r="I3" s="6"/>
      <c r="J3" s="134"/>
      <c r="K3" s="6"/>
    </row>
    <row r="4" spans="1:19" x14ac:dyDescent="0.2">
      <c r="A4" s="66">
        <f t="shared" si="0"/>
        <v>4</v>
      </c>
      <c r="B4" s="6"/>
      <c r="C4" s="11"/>
      <c r="D4" s="6"/>
      <c r="E4" s="11"/>
      <c r="F4" s="6"/>
      <c r="G4" s="6"/>
      <c r="H4" s="6"/>
      <c r="I4" s="6"/>
      <c r="J4" s="6"/>
      <c r="K4" s="6"/>
    </row>
    <row r="5" spans="1:19" x14ac:dyDescent="0.2">
      <c r="A5" s="66">
        <f t="shared" si="0"/>
        <v>5</v>
      </c>
      <c r="B5" s="200" t="s">
        <v>61</v>
      </c>
      <c r="C5" s="200"/>
      <c r="D5" s="200"/>
      <c r="E5" s="200"/>
      <c r="F5" s="200"/>
      <c r="G5" s="200"/>
      <c r="H5" s="200"/>
      <c r="I5" s="200"/>
      <c r="J5" s="200"/>
      <c r="K5" s="200"/>
    </row>
    <row r="6" spans="1:19" x14ac:dyDescent="0.2">
      <c r="A6" s="66">
        <f t="shared" si="0"/>
        <v>6</v>
      </c>
      <c r="B6" s="200" t="s">
        <v>153</v>
      </c>
      <c r="C6" s="200"/>
      <c r="D6" s="200"/>
      <c r="E6" s="200"/>
      <c r="F6" s="200"/>
      <c r="G6" s="200"/>
      <c r="H6" s="200"/>
      <c r="I6" s="200"/>
      <c r="J6" s="200"/>
      <c r="K6" s="200"/>
      <c r="L6" s="5"/>
      <c r="M6" s="12"/>
      <c r="N6" s="5"/>
      <c r="O6" s="5"/>
      <c r="P6" s="5"/>
      <c r="Q6" s="5"/>
      <c r="R6" s="5"/>
      <c r="S6" s="5"/>
    </row>
    <row r="7" spans="1:19" x14ac:dyDescent="0.2">
      <c r="A7" s="66">
        <f t="shared" si="0"/>
        <v>7</v>
      </c>
      <c r="B7" s="200" t="s">
        <v>5</v>
      </c>
      <c r="C7" s="200"/>
      <c r="D7" s="200"/>
      <c r="E7" s="200"/>
      <c r="F7" s="200"/>
      <c r="G7" s="200"/>
      <c r="H7" s="200"/>
      <c r="I7" s="200"/>
      <c r="J7" s="200"/>
      <c r="K7" s="200"/>
      <c r="L7" s="5"/>
      <c r="M7" s="7"/>
      <c r="N7" s="5"/>
      <c r="O7" s="5"/>
      <c r="P7" s="5"/>
      <c r="Q7" s="5"/>
      <c r="R7" s="5"/>
      <c r="S7" s="5"/>
    </row>
    <row r="8" spans="1:19" x14ac:dyDescent="0.2">
      <c r="A8" s="66">
        <f t="shared" si="0"/>
        <v>8</v>
      </c>
      <c r="B8" s="201" t="s">
        <v>5</v>
      </c>
      <c r="C8" s="201"/>
      <c r="D8" s="201"/>
      <c r="E8" s="201"/>
      <c r="F8" s="201"/>
      <c r="G8" s="201"/>
      <c r="H8" s="201"/>
      <c r="I8" s="201"/>
      <c r="J8" s="201"/>
      <c r="K8" s="201"/>
      <c r="M8" s="12"/>
      <c r="N8" s="12"/>
    </row>
    <row r="9" spans="1:19" ht="12.75" customHeight="1" x14ac:dyDescent="0.5">
      <c r="A9" s="66">
        <f t="shared" si="0"/>
        <v>9</v>
      </c>
      <c r="B9" s="136"/>
      <c r="C9" s="176"/>
      <c r="D9" s="177"/>
      <c r="E9" s="176"/>
      <c r="F9" s="177"/>
      <c r="G9" s="177"/>
      <c r="H9" s="177"/>
      <c r="I9" s="178"/>
      <c r="J9" s="6"/>
      <c r="K9" s="6"/>
      <c r="L9" s="6"/>
      <c r="M9" s="6"/>
      <c r="N9" s="6"/>
      <c r="O9" s="6"/>
    </row>
    <row r="10" spans="1:19" x14ac:dyDescent="0.2">
      <c r="A10" s="66">
        <f t="shared" si="0"/>
        <v>10</v>
      </c>
      <c r="B10" s="179"/>
      <c r="C10" s="180"/>
      <c r="D10" s="179"/>
      <c r="E10" s="180"/>
      <c r="F10" s="178"/>
      <c r="G10" s="178"/>
      <c r="H10" s="178"/>
      <c r="I10" s="178"/>
      <c r="J10" s="6"/>
      <c r="K10" s="6"/>
    </row>
    <row r="11" spans="1:19" x14ac:dyDescent="0.2">
      <c r="A11" s="66">
        <f t="shared" si="0"/>
        <v>11</v>
      </c>
      <c r="B11" s="179"/>
      <c r="C11" s="180"/>
      <c r="D11" s="179"/>
      <c r="E11" s="180"/>
      <c r="F11" s="178"/>
      <c r="G11" s="181" t="s">
        <v>5</v>
      </c>
      <c r="H11" s="178"/>
      <c r="I11" s="178"/>
      <c r="J11" s="6"/>
      <c r="K11" s="6"/>
    </row>
    <row r="12" spans="1:19" x14ac:dyDescent="0.2">
      <c r="A12" s="66">
        <f t="shared" si="0"/>
        <v>12</v>
      </c>
      <c r="B12" s="179"/>
      <c r="C12" s="180"/>
      <c r="D12" s="179" t="s">
        <v>99</v>
      </c>
      <c r="E12" s="180"/>
      <c r="F12" s="178" t="s">
        <v>5</v>
      </c>
      <c r="G12" s="6"/>
      <c r="H12" s="179" t="s">
        <v>5</v>
      </c>
      <c r="I12" s="178"/>
      <c r="J12" s="6"/>
      <c r="K12" s="6"/>
    </row>
    <row r="13" spans="1:19" x14ac:dyDescent="0.2">
      <c r="A13" s="66">
        <f t="shared" si="0"/>
        <v>13</v>
      </c>
      <c r="B13" s="178"/>
      <c r="C13" s="182"/>
      <c r="D13" s="179" t="s">
        <v>98</v>
      </c>
      <c r="E13" s="182"/>
      <c r="F13" s="179" t="s">
        <v>5</v>
      </c>
      <c r="G13" s="6"/>
      <c r="H13" s="179" t="s">
        <v>0</v>
      </c>
      <c r="I13" s="178"/>
      <c r="J13" s="6"/>
      <c r="K13" s="6"/>
    </row>
    <row r="14" spans="1:19" x14ac:dyDescent="0.2">
      <c r="A14" s="66">
        <f t="shared" si="0"/>
        <v>14</v>
      </c>
      <c r="B14" s="183" t="s">
        <v>32</v>
      </c>
      <c r="C14" s="184"/>
      <c r="D14" s="185" t="s">
        <v>29</v>
      </c>
      <c r="E14" s="186"/>
      <c r="F14" s="185" t="s">
        <v>97</v>
      </c>
      <c r="G14" s="6"/>
      <c r="H14" s="185" t="s">
        <v>71</v>
      </c>
      <c r="I14" s="178"/>
      <c r="J14" s="6"/>
      <c r="K14" s="6"/>
    </row>
    <row r="15" spans="1:19" x14ac:dyDescent="0.2">
      <c r="A15" s="66">
        <f t="shared" si="0"/>
        <v>15</v>
      </c>
      <c r="B15" s="184"/>
      <c r="C15" s="184"/>
      <c r="D15" s="180"/>
      <c r="E15" s="184"/>
      <c r="F15" s="180"/>
      <c r="G15" s="6"/>
      <c r="H15" s="180"/>
      <c r="I15" s="178"/>
      <c r="J15" s="6"/>
      <c r="K15" s="6"/>
    </row>
    <row r="16" spans="1:19" x14ac:dyDescent="0.2">
      <c r="A16" s="66">
        <f t="shared" si="0"/>
        <v>16</v>
      </c>
      <c r="B16" s="187" t="s">
        <v>16</v>
      </c>
      <c r="C16" s="188"/>
      <c r="D16" s="189">
        <v>2.3380000000000001</v>
      </c>
      <c r="E16" s="190"/>
      <c r="F16" s="191">
        <v>1906303695.5</v>
      </c>
      <c r="G16" s="6"/>
      <c r="H16" s="32">
        <f t="shared" ref="H16:H27" si="1">-(F16*D16)/100</f>
        <v>-44569380.400790006</v>
      </c>
      <c r="I16" s="178"/>
      <c r="J16" s="6"/>
      <c r="K16" s="6"/>
      <c r="L16" s="197"/>
    </row>
    <row r="17" spans="1:12" x14ac:dyDescent="0.2">
      <c r="A17" s="66">
        <f t="shared" si="0"/>
        <v>17</v>
      </c>
      <c r="B17" s="187" t="s">
        <v>30</v>
      </c>
      <c r="C17" s="188"/>
      <c r="D17" s="189">
        <f>D16</f>
        <v>2.3380000000000001</v>
      </c>
      <c r="E17" s="188"/>
      <c r="F17" s="191">
        <v>1726889670.4300001</v>
      </c>
      <c r="G17" s="6"/>
      <c r="H17" s="192">
        <f t="shared" si="1"/>
        <v>-40374680.494653404</v>
      </c>
      <c r="I17" s="178"/>
      <c r="J17" s="6"/>
      <c r="K17" s="6"/>
      <c r="L17" s="197"/>
    </row>
    <row r="18" spans="1:12" x14ac:dyDescent="0.2">
      <c r="A18" s="66">
        <f t="shared" si="0"/>
        <v>18</v>
      </c>
      <c r="B18" s="187" t="s">
        <v>18</v>
      </c>
      <c r="C18" s="188"/>
      <c r="D18" s="189">
        <f t="shared" ref="D18:D27" si="2">D17</f>
        <v>2.3380000000000001</v>
      </c>
      <c r="E18" s="188"/>
      <c r="F18" s="191">
        <v>1686391589.1800001</v>
      </c>
      <c r="G18" s="6"/>
      <c r="H18" s="192">
        <f t="shared" si="1"/>
        <v>-39427835.355028406</v>
      </c>
      <c r="I18" s="178"/>
      <c r="J18" s="6"/>
      <c r="K18" s="6" t="s">
        <v>5</v>
      </c>
      <c r="L18" s="197"/>
    </row>
    <row r="19" spans="1:12" x14ac:dyDescent="0.2">
      <c r="A19" s="66">
        <f t="shared" si="0"/>
        <v>19</v>
      </c>
      <c r="B19" s="187" t="s">
        <v>19</v>
      </c>
      <c r="C19" s="188"/>
      <c r="D19" s="189">
        <f t="shared" si="2"/>
        <v>2.3380000000000001</v>
      </c>
      <c r="E19" s="188"/>
      <c r="F19" s="191">
        <v>1449241989.8199999</v>
      </c>
      <c r="G19" s="6"/>
      <c r="H19" s="192">
        <f t="shared" si="1"/>
        <v>-33883277.721991599</v>
      </c>
      <c r="I19" s="178"/>
      <c r="J19" s="6"/>
      <c r="K19" s="6"/>
      <c r="L19" s="197"/>
    </row>
    <row r="20" spans="1:12" x14ac:dyDescent="0.2">
      <c r="A20" s="66">
        <f t="shared" si="0"/>
        <v>20</v>
      </c>
      <c r="B20" s="187" t="s">
        <v>31</v>
      </c>
      <c r="C20" s="188"/>
      <c r="D20" s="189">
        <f t="shared" si="2"/>
        <v>2.3380000000000001</v>
      </c>
      <c r="E20" s="188"/>
      <c r="F20" s="191">
        <v>1487345425.1099999</v>
      </c>
      <c r="G20" s="6"/>
      <c r="H20" s="192">
        <f t="shared" si="1"/>
        <v>-34774136.039071798</v>
      </c>
      <c r="I20" s="178"/>
      <c r="J20" s="6"/>
      <c r="K20" s="6"/>
      <c r="L20" s="197"/>
    </row>
    <row r="21" spans="1:12" x14ac:dyDescent="0.2">
      <c r="A21" s="66">
        <f t="shared" si="0"/>
        <v>21</v>
      </c>
      <c r="B21" s="187" t="s">
        <v>21</v>
      </c>
      <c r="C21" s="188"/>
      <c r="D21" s="189">
        <f t="shared" si="2"/>
        <v>2.3380000000000001</v>
      </c>
      <c r="E21" s="188"/>
      <c r="F21" s="191">
        <v>1699133715.52</v>
      </c>
      <c r="G21" s="6"/>
      <c r="H21" s="192">
        <f t="shared" si="1"/>
        <v>-39725746.268857606</v>
      </c>
      <c r="I21" s="178"/>
      <c r="J21" s="6"/>
      <c r="K21" s="6"/>
      <c r="L21" s="197"/>
    </row>
    <row r="22" spans="1:12" x14ac:dyDescent="0.2">
      <c r="A22" s="66">
        <f t="shared" si="0"/>
        <v>22</v>
      </c>
      <c r="B22" s="187" t="s">
        <v>22</v>
      </c>
      <c r="C22" s="188"/>
      <c r="D22" s="189">
        <f t="shared" si="2"/>
        <v>2.3380000000000001</v>
      </c>
      <c r="E22" s="188"/>
      <c r="F22" s="191">
        <v>2031703749.3900001</v>
      </c>
      <c r="G22" s="6"/>
      <c r="H22" s="192">
        <f t="shared" si="1"/>
        <v>-47501233.6607382</v>
      </c>
      <c r="I22" s="178"/>
      <c r="J22" s="6"/>
      <c r="K22" s="6"/>
      <c r="L22" s="197"/>
    </row>
    <row r="23" spans="1:12" x14ac:dyDescent="0.2">
      <c r="A23" s="66">
        <f t="shared" si="0"/>
        <v>23</v>
      </c>
      <c r="B23" s="187" t="s">
        <v>23</v>
      </c>
      <c r="C23" s="188"/>
      <c r="D23" s="189">
        <f t="shared" si="2"/>
        <v>2.3380000000000001</v>
      </c>
      <c r="E23" s="188"/>
      <c r="F23" s="191">
        <v>1942374405.49</v>
      </c>
      <c r="G23" s="6"/>
      <c r="H23" s="192">
        <f t="shared" si="1"/>
        <v>-45412713.600356199</v>
      </c>
      <c r="I23" s="178"/>
      <c r="J23" s="6"/>
      <c r="K23" s="6"/>
      <c r="L23" s="197"/>
    </row>
    <row r="24" spans="1:12" x14ac:dyDescent="0.2">
      <c r="A24" s="66">
        <f t="shared" si="0"/>
        <v>24</v>
      </c>
      <c r="B24" s="187" t="s">
        <v>24</v>
      </c>
      <c r="C24" s="188"/>
      <c r="D24" s="189">
        <f t="shared" si="2"/>
        <v>2.3380000000000001</v>
      </c>
      <c r="E24" s="188"/>
      <c r="F24" s="191">
        <v>1568934978.9400001</v>
      </c>
      <c r="G24" s="6"/>
      <c r="H24" s="192">
        <f t="shared" si="1"/>
        <v>-36681699.807617202</v>
      </c>
      <c r="I24" s="178"/>
      <c r="J24" s="6"/>
      <c r="K24" s="6"/>
      <c r="L24" s="197"/>
    </row>
    <row r="25" spans="1:12" x14ac:dyDescent="0.2">
      <c r="A25" s="66">
        <f t="shared" si="0"/>
        <v>25</v>
      </c>
      <c r="B25" s="187" t="s">
        <v>25</v>
      </c>
      <c r="C25" s="188"/>
      <c r="D25" s="189">
        <f t="shared" si="2"/>
        <v>2.3380000000000001</v>
      </c>
      <c r="E25" s="188"/>
      <c r="F25" s="191">
        <v>1545794249.05</v>
      </c>
      <c r="G25" s="6"/>
      <c r="H25" s="192">
        <f t="shared" si="1"/>
        <v>-36140669.542789005</v>
      </c>
      <c r="I25" s="178"/>
      <c r="J25" s="6"/>
      <c r="K25" s="6"/>
      <c r="L25" s="197"/>
    </row>
    <row r="26" spans="1:12" x14ac:dyDescent="0.2">
      <c r="A26" s="66">
        <f t="shared" si="0"/>
        <v>26</v>
      </c>
      <c r="B26" s="187" t="s">
        <v>26</v>
      </c>
      <c r="C26" s="188"/>
      <c r="D26" s="189">
        <f t="shared" si="2"/>
        <v>2.3380000000000001</v>
      </c>
      <c r="E26" s="188"/>
      <c r="F26" s="191">
        <v>1554872336.48</v>
      </c>
      <c r="G26" s="6"/>
      <c r="H26" s="192">
        <f t="shared" si="1"/>
        <v>-36352915.226902403</v>
      </c>
      <c r="I26" s="178"/>
      <c r="J26" s="6"/>
      <c r="K26" s="6"/>
      <c r="L26" s="197"/>
    </row>
    <row r="27" spans="1:12" x14ac:dyDescent="0.2">
      <c r="A27" s="66">
        <f t="shared" si="0"/>
        <v>27</v>
      </c>
      <c r="B27" s="187" t="s">
        <v>27</v>
      </c>
      <c r="C27" s="188"/>
      <c r="D27" s="189">
        <f t="shared" si="2"/>
        <v>2.3380000000000001</v>
      </c>
      <c r="E27" s="188"/>
      <c r="F27" s="191">
        <v>1835812832.6199999</v>
      </c>
      <c r="G27" s="6"/>
      <c r="H27" s="192">
        <f t="shared" si="1"/>
        <v>-42921304.026655599</v>
      </c>
      <c r="I27" s="178"/>
      <c r="J27" s="6"/>
      <c r="K27" s="6"/>
      <c r="L27" s="197"/>
    </row>
    <row r="28" spans="1:12" ht="13.5" thickBot="1" x14ac:dyDescent="0.25">
      <c r="A28" s="66">
        <f t="shared" si="0"/>
        <v>28</v>
      </c>
      <c r="B28" s="193" t="s">
        <v>0</v>
      </c>
      <c r="C28" s="194"/>
      <c r="D28" s="6"/>
      <c r="E28" s="194"/>
      <c r="F28" s="195">
        <f>SUM(F16:F27)</f>
        <v>20434798637.529999</v>
      </c>
      <c r="G28" s="178"/>
      <c r="H28" s="47">
        <f>SUM(H16:H27)</f>
        <v>-477765592.14545143</v>
      </c>
      <c r="I28" s="178"/>
      <c r="J28" s="6"/>
      <c r="K28" s="6"/>
    </row>
    <row r="29" spans="1:12" ht="13.5" thickTop="1" x14ac:dyDescent="0.2">
      <c r="A29" s="66">
        <f t="shared" si="0"/>
        <v>29</v>
      </c>
      <c r="B29" s="178"/>
      <c r="C29" s="182"/>
      <c r="D29" s="178"/>
      <c r="E29" s="182"/>
      <c r="F29" s="196"/>
      <c r="G29" s="178"/>
      <c r="H29" s="178"/>
      <c r="I29" s="178"/>
      <c r="J29" s="6"/>
      <c r="K29" s="6"/>
    </row>
    <row r="30" spans="1:12" x14ac:dyDescent="0.2">
      <c r="A30" s="66">
        <f t="shared" si="0"/>
        <v>30</v>
      </c>
      <c r="B30" s="6"/>
      <c r="C30" s="11"/>
      <c r="D30" s="6"/>
      <c r="E30" s="11"/>
      <c r="F30" s="6"/>
      <c r="G30" s="6"/>
      <c r="H30" s="6"/>
      <c r="I30" s="6"/>
      <c r="J30" s="6"/>
      <c r="K30" s="6"/>
    </row>
    <row r="31" spans="1:12" x14ac:dyDescent="0.2">
      <c r="A31" s="66">
        <f t="shared" si="0"/>
        <v>31</v>
      </c>
      <c r="B31" s="112" t="s">
        <v>33</v>
      </c>
      <c r="C31" s="97"/>
      <c r="D31" s="112"/>
      <c r="E31" s="97"/>
      <c r="F31" s="6"/>
      <c r="G31" s="6"/>
      <c r="H31" s="6"/>
      <c r="I31" s="6"/>
      <c r="J31" s="6"/>
      <c r="K31" s="6"/>
    </row>
    <row r="32" spans="1:12" x14ac:dyDescent="0.2">
      <c r="A32" s="66">
        <f t="shared" si="0"/>
        <v>32</v>
      </c>
      <c r="B32" s="6" t="s">
        <v>156</v>
      </c>
      <c r="C32" s="11"/>
      <c r="D32" s="6"/>
      <c r="E32" s="11"/>
      <c r="F32" s="6"/>
      <c r="G32" s="6"/>
      <c r="H32" s="6"/>
      <c r="I32" s="6"/>
      <c r="J32" s="6"/>
      <c r="K32" s="6"/>
    </row>
    <row r="33" spans="1:11" x14ac:dyDescent="0.2">
      <c r="A33" s="66">
        <f t="shared" si="0"/>
        <v>33</v>
      </c>
      <c r="B33" s="6" t="s">
        <v>157</v>
      </c>
      <c r="C33" s="11"/>
      <c r="D33" s="6"/>
      <c r="E33" s="11"/>
      <c r="F33" s="6"/>
      <c r="G33" s="6"/>
      <c r="H33" s="6"/>
      <c r="I33" s="6"/>
      <c r="J33" s="6"/>
      <c r="K33" s="6"/>
    </row>
    <row r="34" spans="1:11" x14ac:dyDescent="0.2">
      <c r="A34" s="66">
        <f t="shared" si="0"/>
        <v>34</v>
      </c>
      <c r="B34" s="6" t="s">
        <v>158</v>
      </c>
      <c r="C34" s="11"/>
      <c r="D34" s="6"/>
      <c r="E34" s="11"/>
      <c r="F34" s="6"/>
      <c r="G34" s="6"/>
      <c r="H34" s="6"/>
      <c r="I34" s="6"/>
      <c r="J34" s="6"/>
      <c r="K34" s="6"/>
    </row>
    <row r="35" spans="1:11" x14ac:dyDescent="0.2">
      <c r="A35" s="66"/>
      <c r="B35" s="6"/>
      <c r="C35" s="11"/>
      <c r="D35" s="6"/>
      <c r="E35" s="11"/>
      <c r="F35" s="6"/>
      <c r="G35" s="6"/>
      <c r="H35" s="6"/>
      <c r="I35" s="6"/>
      <c r="J35" s="6"/>
      <c r="K35" s="6"/>
    </row>
  </sheetData>
  <mergeCells count="4">
    <mergeCell ref="B6:K6"/>
    <mergeCell ref="B7:K7"/>
    <mergeCell ref="B8:K8"/>
    <mergeCell ref="B5:K5"/>
  </mergeCells>
  <pageMargins left="0.7" right="0.7" top="1.2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7"/>
  <sheetViews>
    <sheetView zoomScaleNormal="100" workbookViewId="0"/>
  </sheetViews>
  <sheetFormatPr defaultColWidth="9.140625" defaultRowHeight="12.75" x14ac:dyDescent="0.2"/>
  <cols>
    <col min="1" max="1" width="4.140625" style="104" bestFit="1" customWidth="1"/>
    <col min="2" max="2" width="69.7109375" style="103" customWidth="1"/>
    <col min="3" max="3" width="13.7109375" style="8" bestFit="1" customWidth="1"/>
    <col min="4" max="4" width="12.28515625" style="8" bestFit="1" customWidth="1"/>
    <col min="5" max="5" width="10.28515625" style="54" customWidth="1"/>
    <col min="6" max="6" width="12.28515625" style="55" bestFit="1" customWidth="1"/>
    <col min="7" max="7" width="9.42578125" style="8" bestFit="1" customWidth="1"/>
    <col min="8" max="8" width="12.28515625" style="55" bestFit="1" customWidth="1"/>
    <col min="9" max="9" width="12" style="8" bestFit="1" customWidth="1"/>
    <col min="10" max="10" width="14.140625" style="55" bestFit="1" customWidth="1"/>
    <col min="11" max="11" width="12" style="8" bestFit="1" customWidth="1"/>
    <col min="12" max="12" width="12.28515625" style="55" bestFit="1" customWidth="1"/>
    <col min="13" max="13" width="12" style="8" bestFit="1" customWidth="1"/>
    <col min="14" max="14" width="12.5703125" style="55" customWidth="1"/>
    <col min="15" max="15" width="11.5703125" style="8" bestFit="1" customWidth="1"/>
    <col min="16" max="16" width="0.140625" style="55" hidden="1" customWidth="1"/>
    <col min="17" max="17" width="32.5703125" style="102" customWidth="1"/>
    <col min="18" max="18" width="24.7109375" style="8" bestFit="1" customWidth="1"/>
    <col min="19" max="16384" width="9.140625" style="8"/>
  </cols>
  <sheetData>
    <row r="1" spans="1:17" x14ac:dyDescent="0.2">
      <c r="A1" s="8"/>
      <c r="B1" s="103" t="s">
        <v>73</v>
      </c>
      <c r="E1" s="103"/>
      <c r="F1" s="8"/>
      <c r="G1" s="103"/>
      <c r="H1" s="8"/>
      <c r="J1" s="8"/>
      <c r="L1" s="8"/>
      <c r="N1" s="8"/>
      <c r="O1" s="134" t="s">
        <v>313</v>
      </c>
      <c r="P1" s="8"/>
    </row>
    <row r="2" spans="1:17" x14ac:dyDescent="0.2">
      <c r="A2" s="8"/>
      <c r="B2" s="103" t="str">
        <f>TOC!B2</f>
        <v>Docket No. 20-03-01</v>
      </c>
      <c r="E2" s="103"/>
      <c r="F2" s="8"/>
      <c r="G2" s="103"/>
      <c r="H2" s="8"/>
      <c r="I2" s="134"/>
      <c r="J2" s="8"/>
      <c r="L2" s="8"/>
      <c r="N2" s="8"/>
      <c r="P2" s="8"/>
    </row>
    <row r="3" spans="1:17" s="103" customFormat="1" x14ac:dyDescent="0.2"/>
    <row r="4" spans="1:17" x14ac:dyDescent="0.2">
      <c r="B4" s="200" t="s">
        <v>72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5" spans="1:17" x14ac:dyDescent="0.2">
      <c r="A5" s="104">
        <v>1</v>
      </c>
      <c r="B5" s="200" t="s">
        <v>37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8"/>
    </row>
    <row r="6" spans="1:17" x14ac:dyDescent="0.2">
      <c r="A6" s="104">
        <f t="shared" ref="A6:A71" si="0">A5+1</f>
        <v>2</v>
      </c>
      <c r="B6" s="200" t="s">
        <v>154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135"/>
    </row>
    <row r="7" spans="1:17" x14ac:dyDescent="0.2">
      <c r="A7" s="104">
        <f t="shared" si="0"/>
        <v>3</v>
      </c>
      <c r="B7" s="103" t="s">
        <v>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8"/>
    </row>
    <row r="8" spans="1:17" ht="22.5" x14ac:dyDescent="0.3">
      <c r="A8" s="104">
        <f t="shared" si="0"/>
        <v>4</v>
      </c>
      <c r="B8" s="163"/>
      <c r="L8" s="55" t="s">
        <v>5</v>
      </c>
      <c r="P8" s="8"/>
    </row>
    <row r="9" spans="1:17" x14ac:dyDescent="0.2">
      <c r="A9" s="104">
        <f t="shared" si="0"/>
        <v>5</v>
      </c>
      <c r="B9" s="156" t="s">
        <v>5</v>
      </c>
      <c r="C9" s="156" t="s">
        <v>74</v>
      </c>
      <c r="D9" s="157" t="s">
        <v>16</v>
      </c>
      <c r="E9" s="157"/>
      <c r="F9" s="157" t="s">
        <v>17</v>
      </c>
      <c r="G9" s="157"/>
      <c r="H9" s="157" t="s">
        <v>18</v>
      </c>
      <c r="I9" s="157"/>
      <c r="J9" s="157" t="s">
        <v>19</v>
      </c>
      <c r="K9" s="157"/>
      <c r="L9" s="157" t="s">
        <v>20</v>
      </c>
      <c r="M9" s="157"/>
      <c r="N9" s="157" t="s">
        <v>21</v>
      </c>
      <c r="O9" s="157"/>
      <c r="P9" s="156"/>
    </row>
    <row r="10" spans="1:17" x14ac:dyDescent="0.2">
      <c r="A10" s="104">
        <f t="shared" si="0"/>
        <v>6</v>
      </c>
      <c r="B10" s="155" t="s">
        <v>8</v>
      </c>
      <c r="C10" s="155" t="s">
        <v>75</v>
      </c>
      <c r="D10" s="125" t="s">
        <v>82</v>
      </c>
      <c r="E10" s="109" t="s">
        <v>12</v>
      </c>
      <c r="F10" s="125" t="s">
        <v>82</v>
      </c>
      <c r="G10" s="109" t="s">
        <v>12</v>
      </c>
      <c r="H10" s="125" t="s">
        <v>82</v>
      </c>
      <c r="I10" s="109" t="s">
        <v>12</v>
      </c>
      <c r="J10" s="125" t="s">
        <v>82</v>
      </c>
      <c r="K10" s="109" t="s">
        <v>12</v>
      </c>
      <c r="L10" s="125" t="s">
        <v>82</v>
      </c>
      <c r="M10" s="109" t="s">
        <v>12</v>
      </c>
      <c r="N10" s="125" t="s">
        <v>82</v>
      </c>
      <c r="O10" s="109" t="s">
        <v>12</v>
      </c>
      <c r="P10" s="8"/>
    </row>
    <row r="11" spans="1:17" x14ac:dyDescent="0.2">
      <c r="A11" s="104">
        <f t="shared" si="0"/>
        <v>7</v>
      </c>
      <c r="B11" s="159" t="s">
        <v>85</v>
      </c>
      <c r="C11" s="100" t="s">
        <v>76</v>
      </c>
      <c r="D11" s="172">
        <v>1863885</v>
      </c>
      <c r="F11" s="172">
        <v>1863946</v>
      </c>
      <c r="G11" s="51" t="s">
        <v>5</v>
      </c>
      <c r="H11" s="172">
        <v>1864068</v>
      </c>
      <c r="I11" s="51" t="s">
        <v>5</v>
      </c>
      <c r="J11" s="172">
        <v>1863061</v>
      </c>
      <c r="K11" s="51" t="s">
        <v>5</v>
      </c>
      <c r="L11" s="172">
        <v>1854639</v>
      </c>
      <c r="M11" s="51" t="s">
        <v>5</v>
      </c>
      <c r="N11" s="172">
        <v>1722567</v>
      </c>
      <c r="O11" s="51"/>
      <c r="P11" s="8"/>
      <c r="Q11" s="141"/>
    </row>
    <row r="12" spans="1:17" x14ac:dyDescent="0.2">
      <c r="A12" s="104">
        <f t="shared" si="0"/>
        <v>8</v>
      </c>
      <c r="B12" s="159" t="s">
        <v>86</v>
      </c>
      <c r="C12" s="100" t="s">
        <v>77</v>
      </c>
      <c r="D12" s="171">
        <v>1933815</v>
      </c>
      <c r="E12" s="51"/>
      <c r="F12" s="171">
        <v>1933878</v>
      </c>
      <c r="G12" s="51"/>
      <c r="H12" s="171">
        <v>1934005</v>
      </c>
      <c r="I12" s="51"/>
      <c r="J12" s="171">
        <v>1932960</v>
      </c>
      <c r="K12" s="51"/>
      <c r="L12" s="171">
        <f>1199278+724944</f>
        <v>1924222</v>
      </c>
      <c r="M12" s="51"/>
      <c r="N12" s="171">
        <v>2276487</v>
      </c>
      <c r="O12" s="51"/>
      <c r="P12" s="8"/>
      <c r="Q12" s="141"/>
    </row>
    <row r="13" spans="1:17" x14ac:dyDescent="0.2">
      <c r="A13" s="104">
        <f t="shared" si="0"/>
        <v>9</v>
      </c>
      <c r="B13" s="159" t="s">
        <v>123</v>
      </c>
      <c r="C13" s="100" t="s">
        <v>0</v>
      </c>
      <c r="D13" s="172">
        <f>D11+D12</f>
        <v>3797700</v>
      </c>
      <c r="E13" s="57" t="s">
        <v>38</v>
      </c>
      <c r="F13" s="172">
        <f>F11+F12</f>
        <v>3797824</v>
      </c>
      <c r="G13" s="57" t="s">
        <v>189</v>
      </c>
      <c r="H13" s="172">
        <f>H11+H12</f>
        <v>3798073</v>
      </c>
      <c r="I13" s="57" t="s">
        <v>200</v>
      </c>
      <c r="J13" s="172">
        <f>J11+J12</f>
        <v>3796021</v>
      </c>
      <c r="K13" s="57" t="s">
        <v>211</v>
      </c>
      <c r="L13" s="172">
        <f>L11+L12</f>
        <v>3778861</v>
      </c>
      <c r="M13" s="57" t="s">
        <v>223</v>
      </c>
      <c r="N13" s="172">
        <f>N11+N12</f>
        <v>3999054</v>
      </c>
      <c r="O13" s="57" t="s">
        <v>236</v>
      </c>
      <c r="P13" s="8"/>
    </row>
    <row r="14" spans="1:17" x14ac:dyDescent="0.2">
      <c r="A14" s="104">
        <f t="shared" si="0"/>
        <v>10</v>
      </c>
      <c r="B14" s="159"/>
      <c r="C14" s="100"/>
      <c r="D14" s="172"/>
      <c r="E14" s="57"/>
      <c r="F14" s="172"/>
      <c r="G14" s="57"/>
      <c r="H14" s="172"/>
      <c r="I14" s="57"/>
      <c r="J14" s="172"/>
      <c r="K14" s="51"/>
      <c r="L14" s="172"/>
      <c r="M14" s="51"/>
      <c r="N14" s="172"/>
      <c r="O14" s="51"/>
      <c r="P14" s="8"/>
    </row>
    <row r="15" spans="1:17" x14ac:dyDescent="0.2">
      <c r="A15" s="104">
        <f t="shared" si="0"/>
        <v>11</v>
      </c>
      <c r="B15" s="159" t="s">
        <v>39</v>
      </c>
      <c r="C15" s="100" t="s">
        <v>76</v>
      </c>
      <c r="D15" s="172">
        <v>0</v>
      </c>
      <c r="E15" s="57"/>
      <c r="F15" s="172">
        <v>0</v>
      </c>
      <c r="G15" s="57"/>
      <c r="H15" s="172">
        <v>0</v>
      </c>
      <c r="I15" s="57"/>
      <c r="J15" s="172">
        <v>0</v>
      </c>
      <c r="K15" s="51"/>
      <c r="L15" s="172">
        <v>-8663080</v>
      </c>
      <c r="M15" s="51"/>
      <c r="N15" s="172">
        <v>0</v>
      </c>
      <c r="O15" s="51"/>
      <c r="P15" s="8"/>
      <c r="Q15" s="141"/>
    </row>
    <row r="16" spans="1:17" x14ac:dyDescent="0.2">
      <c r="A16" s="104">
        <f t="shared" si="0"/>
        <v>12</v>
      </c>
      <c r="B16" s="159" t="s">
        <v>39</v>
      </c>
      <c r="C16" s="100" t="s">
        <v>77</v>
      </c>
      <c r="D16" s="171">
        <v>0</v>
      </c>
      <c r="E16" s="57"/>
      <c r="F16" s="171">
        <v>0</v>
      </c>
      <c r="G16" s="57"/>
      <c r="H16" s="171">
        <v>0</v>
      </c>
      <c r="I16" s="57"/>
      <c r="J16" s="171">
        <v>0</v>
      </c>
      <c r="K16" s="51"/>
      <c r="L16" s="171">
        <v>2340576</v>
      </c>
      <c r="M16" s="51"/>
      <c r="N16" s="171">
        <v>0</v>
      </c>
      <c r="O16" s="51"/>
      <c r="P16" s="8"/>
      <c r="Q16" s="141"/>
    </row>
    <row r="17" spans="1:17" x14ac:dyDescent="0.2">
      <c r="A17" s="104">
        <f t="shared" si="0"/>
        <v>13</v>
      </c>
      <c r="B17" s="159"/>
      <c r="C17" s="100" t="s">
        <v>0</v>
      </c>
      <c r="D17" s="172">
        <f>D15+D16</f>
        <v>0</v>
      </c>
      <c r="E17" s="57"/>
      <c r="F17" s="172">
        <f>F15+F16</f>
        <v>0</v>
      </c>
      <c r="G17" s="57"/>
      <c r="H17" s="172">
        <f>H15+H16</f>
        <v>0</v>
      </c>
      <c r="I17" s="57"/>
      <c r="J17" s="172">
        <f>J15+J16</f>
        <v>0</v>
      </c>
      <c r="K17" s="51"/>
      <c r="L17" s="172">
        <f>L15+L16</f>
        <v>-6322504</v>
      </c>
      <c r="M17" s="57" t="s">
        <v>224</v>
      </c>
      <c r="N17" s="172">
        <f>N15+N16</f>
        <v>0</v>
      </c>
      <c r="O17" s="57"/>
      <c r="P17" s="8"/>
    </row>
    <row r="18" spans="1:17" x14ac:dyDescent="0.2">
      <c r="A18" s="104">
        <f t="shared" si="0"/>
        <v>14</v>
      </c>
      <c r="B18" s="159"/>
      <c r="C18" s="100"/>
      <c r="D18" s="172"/>
      <c r="E18" s="57"/>
      <c r="F18" s="172"/>
      <c r="G18" s="57"/>
      <c r="H18" s="172"/>
      <c r="I18" s="57"/>
      <c r="J18" s="172"/>
      <c r="K18" s="51"/>
      <c r="L18" s="172"/>
      <c r="M18" s="57"/>
      <c r="N18" s="172"/>
      <c r="O18" s="57"/>
      <c r="P18" s="8"/>
    </row>
    <row r="19" spans="1:17" x14ac:dyDescent="0.2">
      <c r="A19" s="104">
        <f t="shared" si="0"/>
        <v>15</v>
      </c>
      <c r="B19" s="159" t="s">
        <v>88</v>
      </c>
      <c r="C19" s="100" t="s">
        <v>76</v>
      </c>
      <c r="D19" s="172">
        <v>1829765</v>
      </c>
      <c r="E19" s="57" t="s">
        <v>179</v>
      </c>
      <c r="F19" s="172">
        <v>1831243</v>
      </c>
      <c r="G19" s="57" t="s">
        <v>190</v>
      </c>
      <c r="H19" s="172">
        <v>1831767</v>
      </c>
      <c r="I19" s="57" t="s">
        <v>201</v>
      </c>
      <c r="J19" s="172">
        <v>1832816</v>
      </c>
      <c r="K19" s="57" t="s">
        <v>212</v>
      </c>
      <c r="L19" s="172">
        <v>1831362</v>
      </c>
      <c r="M19" s="57" t="s">
        <v>225</v>
      </c>
      <c r="N19" s="172">
        <v>1715974</v>
      </c>
      <c r="O19" s="57" t="s">
        <v>237</v>
      </c>
      <c r="P19" s="8"/>
    </row>
    <row r="20" spans="1:17" x14ac:dyDescent="0.2">
      <c r="A20" s="104">
        <f t="shared" si="0"/>
        <v>16</v>
      </c>
      <c r="B20" s="159" t="s">
        <v>102</v>
      </c>
      <c r="C20" s="100" t="s">
        <v>76</v>
      </c>
      <c r="D20" s="172">
        <v>0</v>
      </c>
      <c r="E20" s="57"/>
      <c r="F20" s="172">
        <v>0</v>
      </c>
      <c r="G20" s="57"/>
      <c r="H20" s="172">
        <v>0</v>
      </c>
      <c r="I20" s="57"/>
      <c r="J20" s="172">
        <v>0</v>
      </c>
      <c r="K20" s="51"/>
      <c r="L20" s="172">
        <v>-1809282</v>
      </c>
      <c r="M20" s="57" t="s">
        <v>226</v>
      </c>
      <c r="N20" s="172">
        <v>0</v>
      </c>
      <c r="O20" s="57"/>
      <c r="P20" s="8"/>
      <c r="Q20" s="141"/>
    </row>
    <row r="21" spans="1:17" x14ac:dyDescent="0.2">
      <c r="A21" s="104">
        <f t="shared" si="0"/>
        <v>17</v>
      </c>
      <c r="B21" s="159" t="s">
        <v>80</v>
      </c>
      <c r="D21" s="103"/>
      <c r="E21" s="61"/>
      <c r="G21" s="104"/>
      <c r="I21" s="104"/>
    </row>
    <row r="22" spans="1:17" x14ac:dyDescent="0.2">
      <c r="A22" s="104">
        <f t="shared" si="0"/>
        <v>18</v>
      </c>
      <c r="B22" s="103" t="s">
        <v>46</v>
      </c>
      <c r="C22" s="100" t="s">
        <v>78</v>
      </c>
      <c r="D22" s="172">
        <v>694000</v>
      </c>
      <c r="E22" s="57"/>
      <c r="F22" s="172">
        <v>694000</v>
      </c>
      <c r="G22" s="57"/>
      <c r="H22" s="172">
        <v>695000</v>
      </c>
      <c r="I22" s="57"/>
      <c r="J22" s="172">
        <v>695000</v>
      </c>
      <c r="K22" s="51"/>
      <c r="L22" s="172">
        <v>695000</v>
      </c>
      <c r="M22" s="51"/>
      <c r="N22" s="172">
        <v>695000</v>
      </c>
      <c r="O22" s="51"/>
      <c r="P22" s="8"/>
      <c r="Q22" s="141"/>
    </row>
    <row r="23" spans="1:17" x14ac:dyDescent="0.2">
      <c r="A23" s="104">
        <f t="shared" si="0"/>
        <v>19</v>
      </c>
      <c r="B23" s="103" t="s">
        <v>45</v>
      </c>
      <c r="C23" s="100" t="s">
        <v>78</v>
      </c>
      <c r="D23" s="172">
        <v>-692000</v>
      </c>
      <c r="E23" s="57"/>
      <c r="F23" s="172">
        <f>-D22</f>
        <v>-694000</v>
      </c>
      <c r="G23" s="57"/>
      <c r="H23" s="172">
        <f>-F22</f>
        <v>-694000</v>
      </c>
      <c r="I23" s="57"/>
      <c r="J23" s="172">
        <f>-H22</f>
        <v>-695000</v>
      </c>
      <c r="K23" s="51"/>
      <c r="L23" s="172">
        <f>-J22</f>
        <v>-695000</v>
      </c>
      <c r="M23" s="51"/>
      <c r="N23" s="172">
        <f>-L22</f>
        <v>-695000</v>
      </c>
      <c r="O23" s="51"/>
      <c r="P23" s="8"/>
      <c r="Q23" s="141"/>
    </row>
    <row r="24" spans="1:17" x14ac:dyDescent="0.2">
      <c r="A24" s="104">
        <f t="shared" si="0"/>
        <v>20</v>
      </c>
      <c r="B24" s="159" t="s">
        <v>40</v>
      </c>
      <c r="C24" s="100" t="s">
        <v>78</v>
      </c>
      <c r="D24" s="171">
        <v>694273.42</v>
      </c>
      <c r="E24" s="57" t="s">
        <v>41</v>
      </c>
      <c r="F24" s="171">
        <v>694110.67</v>
      </c>
      <c r="G24" s="57" t="s">
        <v>191</v>
      </c>
      <c r="H24" s="171">
        <v>694671.25</v>
      </c>
      <c r="I24" s="57" t="s">
        <v>202</v>
      </c>
      <c r="J24" s="171">
        <v>694870.17</v>
      </c>
      <c r="K24" s="57" t="s">
        <v>213</v>
      </c>
      <c r="L24" s="171">
        <v>695268</v>
      </c>
      <c r="M24" s="57" t="s">
        <v>227</v>
      </c>
      <c r="N24" s="171">
        <v>694716.46</v>
      </c>
      <c r="O24" s="57" t="s">
        <v>239</v>
      </c>
      <c r="P24" s="8"/>
      <c r="Q24" s="141"/>
    </row>
    <row r="25" spans="1:17" x14ac:dyDescent="0.2">
      <c r="A25" s="104">
        <f t="shared" si="0"/>
        <v>21</v>
      </c>
      <c r="B25" s="159"/>
      <c r="C25" s="100" t="s">
        <v>0</v>
      </c>
      <c r="D25" s="172">
        <f>SUM(D22:D24)</f>
        <v>696273.42</v>
      </c>
      <c r="E25" s="57"/>
      <c r="F25" s="172">
        <f>SUM(F22:F24)</f>
        <v>694110.67</v>
      </c>
      <c r="G25" s="57"/>
      <c r="H25" s="172">
        <f>SUM(H22:H24)</f>
        <v>695671.25</v>
      </c>
      <c r="I25" s="57"/>
      <c r="J25" s="172">
        <f>SUM(J22:J24)</f>
        <v>694870.17</v>
      </c>
      <c r="K25" s="51"/>
      <c r="L25" s="172">
        <f>SUM(L22:L24)</f>
        <v>695268</v>
      </c>
      <c r="M25" s="51"/>
      <c r="N25" s="172">
        <f>SUM(N22:N24)</f>
        <v>694716.46</v>
      </c>
      <c r="O25" s="51"/>
      <c r="P25" s="8"/>
    </row>
    <row r="26" spans="1:17" x14ac:dyDescent="0.2">
      <c r="A26" s="104">
        <f t="shared" si="0"/>
        <v>22</v>
      </c>
      <c r="B26" s="159"/>
      <c r="C26" s="100"/>
      <c r="D26" s="172"/>
      <c r="E26" s="57"/>
      <c r="F26" s="172"/>
      <c r="G26" s="57"/>
      <c r="H26" s="172"/>
      <c r="I26" s="57"/>
      <c r="J26" s="172"/>
      <c r="K26" s="51"/>
      <c r="L26" s="172"/>
      <c r="M26" s="51"/>
      <c r="N26" s="172"/>
      <c r="O26" s="51"/>
      <c r="P26" s="8"/>
    </row>
    <row r="27" spans="1:17" x14ac:dyDescent="0.2">
      <c r="A27" s="104">
        <f t="shared" si="0"/>
        <v>23</v>
      </c>
      <c r="B27" s="159" t="s">
        <v>42</v>
      </c>
      <c r="C27" s="100" t="s">
        <v>78</v>
      </c>
      <c r="D27" s="172">
        <v>0</v>
      </c>
      <c r="E27" s="57"/>
      <c r="F27" s="172">
        <v>0</v>
      </c>
      <c r="G27" s="57"/>
      <c r="H27" s="172">
        <v>0</v>
      </c>
      <c r="I27" s="57"/>
      <c r="J27" s="172">
        <v>0</v>
      </c>
      <c r="K27" s="51"/>
      <c r="L27" s="172">
        <v>0</v>
      </c>
      <c r="M27" s="51"/>
      <c r="N27" s="172">
        <v>-537698</v>
      </c>
      <c r="O27" s="57" t="s">
        <v>240</v>
      </c>
      <c r="P27" s="8"/>
    </row>
    <row r="28" spans="1:17" x14ac:dyDescent="0.2">
      <c r="A28" s="104">
        <f t="shared" si="0"/>
        <v>24</v>
      </c>
      <c r="B28" s="159"/>
      <c r="C28" s="99"/>
      <c r="D28" s="172"/>
      <c r="E28" s="57"/>
      <c r="F28" s="172"/>
      <c r="G28" s="57"/>
      <c r="H28" s="172"/>
      <c r="I28" s="57"/>
      <c r="J28" s="172"/>
      <c r="K28" s="51"/>
      <c r="L28" s="172"/>
      <c r="M28" s="51"/>
      <c r="N28" s="172"/>
      <c r="O28" s="51"/>
      <c r="P28" s="8"/>
    </row>
    <row r="29" spans="1:17" x14ac:dyDescent="0.2">
      <c r="A29" s="104">
        <f t="shared" si="0"/>
        <v>25</v>
      </c>
      <c r="B29" s="159" t="s">
        <v>105</v>
      </c>
      <c r="C29" s="100"/>
      <c r="P29" s="8"/>
    </row>
    <row r="30" spans="1:17" x14ac:dyDescent="0.2">
      <c r="A30" s="104">
        <f t="shared" si="0"/>
        <v>26</v>
      </c>
      <c r="B30" s="103" t="s">
        <v>46</v>
      </c>
      <c r="C30" s="100" t="s">
        <v>78</v>
      </c>
      <c r="D30" s="172">
        <f>15000</f>
        <v>15000</v>
      </c>
      <c r="E30" s="57"/>
      <c r="F30" s="172">
        <v>15000</v>
      </c>
      <c r="G30" s="57"/>
      <c r="H30" s="172">
        <v>15000</v>
      </c>
      <c r="I30" s="57"/>
      <c r="J30" s="172">
        <v>15000</v>
      </c>
      <c r="K30" s="57"/>
      <c r="L30" s="172">
        <v>15000</v>
      </c>
      <c r="M30" s="51"/>
      <c r="N30" s="172">
        <v>15000</v>
      </c>
      <c r="O30" s="57"/>
      <c r="P30" s="8"/>
      <c r="Q30" s="141"/>
    </row>
    <row r="31" spans="1:17" x14ac:dyDescent="0.2">
      <c r="A31" s="104">
        <f t="shared" si="0"/>
        <v>27</v>
      </c>
      <c r="B31" s="103" t="s">
        <v>45</v>
      </c>
      <c r="C31" s="100" t="s">
        <v>78</v>
      </c>
      <c r="D31" s="172">
        <f>-15000</f>
        <v>-15000</v>
      </c>
      <c r="E31" s="57"/>
      <c r="F31" s="172">
        <f>-D30</f>
        <v>-15000</v>
      </c>
      <c r="G31" s="57"/>
      <c r="H31" s="172">
        <f>-F30</f>
        <v>-15000</v>
      </c>
      <c r="I31" s="57"/>
      <c r="J31" s="172">
        <f>-H30</f>
        <v>-15000</v>
      </c>
      <c r="K31" s="57"/>
      <c r="L31" s="172">
        <f>-J30</f>
        <v>-15000</v>
      </c>
      <c r="M31" s="51"/>
      <c r="N31" s="172">
        <f>-L30</f>
        <v>-15000</v>
      </c>
      <c r="O31" s="57"/>
      <c r="P31" s="8"/>
      <c r="Q31" s="141"/>
    </row>
    <row r="32" spans="1:17" x14ac:dyDescent="0.2">
      <c r="A32" s="104">
        <f t="shared" si="0"/>
        <v>28</v>
      </c>
      <c r="B32" s="159" t="s">
        <v>43</v>
      </c>
      <c r="C32" s="100" t="s">
        <v>78</v>
      </c>
      <c r="D32" s="171">
        <v>14734.47</v>
      </c>
      <c r="E32" s="57" t="s">
        <v>180</v>
      </c>
      <c r="F32" s="171">
        <v>14731</v>
      </c>
      <c r="G32" s="57" t="s">
        <v>192</v>
      </c>
      <c r="H32" s="171">
        <v>14742.9</v>
      </c>
      <c r="I32" s="57" t="s">
        <v>203</v>
      </c>
      <c r="J32" s="171">
        <v>14747.11</v>
      </c>
      <c r="K32" s="57" t="s">
        <v>214</v>
      </c>
      <c r="L32" s="171">
        <v>14755.57</v>
      </c>
      <c r="M32" s="57" t="s">
        <v>228</v>
      </c>
      <c r="N32" s="171">
        <v>14743.86</v>
      </c>
      <c r="O32" s="57" t="s">
        <v>238</v>
      </c>
      <c r="P32" s="8"/>
      <c r="Q32" s="141"/>
    </row>
    <row r="33" spans="1:17" x14ac:dyDescent="0.2">
      <c r="A33" s="104">
        <f t="shared" si="0"/>
        <v>29</v>
      </c>
      <c r="B33" s="159"/>
      <c r="C33" s="100" t="s">
        <v>0</v>
      </c>
      <c r="D33" s="172">
        <f>SUM(D30:D32)</f>
        <v>14734.47</v>
      </c>
      <c r="E33" s="57"/>
      <c r="F33" s="172">
        <f>SUM(F30:F32)</f>
        <v>14731</v>
      </c>
      <c r="G33" s="57"/>
      <c r="H33" s="172">
        <f>SUM(H30:H32)</f>
        <v>14742.9</v>
      </c>
      <c r="I33" s="57"/>
      <c r="J33" s="172">
        <f>SUM(J30:J32)</f>
        <v>14747.11</v>
      </c>
      <c r="K33" s="57"/>
      <c r="L33" s="172">
        <f>SUM(L30:L32)</f>
        <v>14755.57</v>
      </c>
      <c r="M33" s="51"/>
      <c r="N33" s="172">
        <f>SUM(N30:N32)</f>
        <v>14743.86</v>
      </c>
      <c r="O33" s="57"/>
      <c r="P33" s="8"/>
    </row>
    <row r="34" spans="1:17" x14ac:dyDescent="0.2">
      <c r="A34" s="104">
        <f t="shared" si="0"/>
        <v>30</v>
      </c>
      <c r="B34" s="159"/>
      <c r="C34" s="100"/>
      <c r="D34" s="172"/>
      <c r="E34" s="57"/>
      <c r="F34" s="172"/>
      <c r="G34" s="57"/>
      <c r="H34" s="172"/>
      <c r="I34" s="57"/>
      <c r="J34" s="172"/>
      <c r="K34" s="57"/>
      <c r="L34" s="172"/>
      <c r="M34" s="51"/>
      <c r="N34" s="172"/>
      <c r="O34" s="57"/>
      <c r="P34" s="8"/>
    </row>
    <row r="35" spans="1:17" x14ac:dyDescent="0.2">
      <c r="A35" s="104">
        <f t="shared" si="0"/>
        <v>31</v>
      </c>
      <c r="B35" s="159" t="s">
        <v>122</v>
      </c>
      <c r="C35" s="100" t="s">
        <v>78</v>
      </c>
      <c r="D35" s="172">
        <v>0</v>
      </c>
      <c r="E35" s="57"/>
      <c r="F35" s="172">
        <v>0</v>
      </c>
      <c r="G35" s="57"/>
      <c r="H35" s="172">
        <v>0</v>
      </c>
      <c r="I35" s="57"/>
      <c r="J35" s="172">
        <v>0</v>
      </c>
      <c r="K35" s="57"/>
      <c r="L35" s="172">
        <v>0</v>
      </c>
      <c r="M35" s="51"/>
      <c r="N35" s="172">
        <v>0</v>
      </c>
      <c r="O35" s="57"/>
      <c r="P35" s="8"/>
    </row>
    <row r="36" spans="1:17" x14ac:dyDescent="0.2">
      <c r="A36" s="104">
        <f t="shared" si="0"/>
        <v>32</v>
      </c>
      <c r="B36" s="159"/>
      <c r="C36" s="99"/>
      <c r="D36" s="172"/>
      <c r="E36" s="57"/>
      <c r="F36" s="172"/>
      <c r="G36" s="57"/>
      <c r="H36" s="172"/>
      <c r="I36" s="57"/>
      <c r="J36" s="172"/>
      <c r="K36" s="51"/>
      <c r="L36" s="172"/>
      <c r="M36" s="51"/>
      <c r="N36" s="172"/>
      <c r="O36" s="51"/>
      <c r="P36" s="8"/>
    </row>
    <row r="37" spans="1:17" x14ac:dyDescent="0.2">
      <c r="A37" s="104">
        <f t="shared" si="0"/>
        <v>33</v>
      </c>
      <c r="B37" s="103" t="s">
        <v>1</v>
      </c>
      <c r="C37" s="153" t="s">
        <v>0</v>
      </c>
      <c r="D37" s="126">
        <f>D13+D17+D19+D20+D25+D27+D33+D35</f>
        <v>6338472.8899999997</v>
      </c>
      <c r="E37" s="57"/>
      <c r="F37" s="126">
        <f>F13+F17+F19+F20+F25+F27+F33+F35</f>
        <v>6337908.6699999999</v>
      </c>
      <c r="G37" s="57"/>
      <c r="H37" s="126">
        <f>H13+H17+H19+H20+H25+H27+H33+H35</f>
        <v>6340254.1500000004</v>
      </c>
      <c r="I37" s="57"/>
      <c r="J37" s="126">
        <f>J13+J17+J19+J20+J25+J27+J33+J35</f>
        <v>6338454.2800000003</v>
      </c>
      <c r="K37" s="51"/>
      <c r="L37" s="126">
        <f>L13+L17+L19+L20+L25+L27+L33+L35</f>
        <v>-1811539.43</v>
      </c>
      <c r="M37" s="51"/>
      <c r="N37" s="126">
        <f>N13+N17+N19+N20+N25+N27+N33+N35</f>
        <v>5886790.3200000003</v>
      </c>
      <c r="O37" s="51"/>
      <c r="P37" s="8"/>
      <c r="Q37" s="141"/>
    </row>
    <row r="38" spans="1:17" x14ac:dyDescent="0.2">
      <c r="A38" s="104">
        <f t="shared" si="0"/>
        <v>34</v>
      </c>
      <c r="D38" s="102"/>
      <c r="E38" s="61" t="s">
        <v>5</v>
      </c>
      <c r="G38" s="61"/>
      <c r="I38" s="61"/>
      <c r="K38" s="54"/>
      <c r="M38" s="54"/>
      <c r="O38" s="54"/>
      <c r="P38" s="8"/>
    </row>
    <row r="39" spans="1:17" x14ac:dyDescent="0.2">
      <c r="A39" s="104">
        <f t="shared" si="0"/>
        <v>35</v>
      </c>
      <c r="B39" s="103" t="s">
        <v>44</v>
      </c>
      <c r="C39" s="153" t="s">
        <v>79</v>
      </c>
      <c r="D39" s="55">
        <v>30678361.170000002</v>
      </c>
      <c r="E39" s="57" t="s">
        <v>181</v>
      </c>
      <c r="F39" s="55">
        <v>30970361.550000001</v>
      </c>
      <c r="G39" s="57" t="s">
        <v>193</v>
      </c>
      <c r="H39" s="55">
        <v>36513233.740000002</v>
      </c>
      <c r="I39" s="57" t="s">
        <v>204</v>
      </c>
      <c r="J39" s="55">
        <v>32386946.640000001</v>
      </c>
      <c r="K39" s="57" t="s">
        <v>215</v>
      </c>
      <c r="L39" s="55">
        <v>30685364.18</v>
      </c>
      <c r="M39" s="57" t="s">
        <v>229</v>
      </c>
      <c r="N39" s="55">
        <v>25135369.359999999</v>
      </c>
      <c r="O39" s="57" t="s">
        <v>241</v>
      </c>
      <c r="P39" s="8" t="s">
        <v>5</v>
      </c>
      <c r="Q39" s="141"/>
    </row>
    <row r="40" spans="1:17" x14ac:dyDescent="0.2">
      <c r="A40" s="104">
        <f t="shared" si="0"/>
        <v>36</v>
      </c>
      <c r="B40" s="103" t="s">
        <v>45</v>
      </c>
      <c r="C40" s="153" t="s">
        <v>79</v>
      </c>
      <c r="D40" s="55">
        <v>-30678361.170000002</v>
      </c>
      <c r="E40" s="57"/>
      <c r="F40" s="55">
        <f>-D41</f>
        <v>-30970361.550000001</v>
      </c>
      <c r="G40" s="57" t="s">
        <v>5</v>
      </c>
      <c r="H40" s="55">
        <f>-F41</f>
        <v>-36513233.740000002</v>
      </c>
      <c r="I40" s="61"/>
      <c r="J40" s="55">
        <f>-H41</f>
        <v>-32386946.640000001</v>
      </c>
      <c r="K40" s="61"/>
      <c r="L40" s="55">
        <f>-J41</f>
        <v>-30685364.18</v>
      </c>
      <c r="M40" s="61"/>
      <c r="N40" s="55">
        <f>-L41</f>
        <v>-25135369.359999999</v>
      </c>
      <c r="O40" s="61"/>
      <c r="P40" s="8"/>
      <c r="Q40" s="141"/>
    </row>
    <row r="41" spans="1:17" x14ac:dyDescent="0.2">
      <c r="A41" s="104">
        <f t="shared" si="0"/>
        <v>37</v>
      </c>
      <c r="B41" s="103" t="s">
        <v>46</v>
      </c>
      <c r="C41" s="153" t="s">
        <v>79</v>
      </c>
      <c r="D41" s="55">
        <v>30970361.550000001</v>
      </c>
      <c r="E41" s="61"/>
      <c r="F41" s="55">
        <v>36513233.740000002</v>
      </c>
      <c r="G41" s="61"/>
      <c r="H41" s="55">
        <v>32386946.640000001</v>
      </c>
      <c r="I41" s="61"/>
      <c r="J41" s="55">
        <v>30685364.18</v>
      </c>
      <c r="K41" s="61"/>
      <c r="L41" s="55">
        <v>25135369.359999999</v>
      </c>
      <c r="M41" s="61"/>
      <c r="N41" s="55">
        <v>27510344.379999999</v>
      </c>
      <c r="O41" s="61"/>
      <c r="P41" s="8" t="s">
        <v>5</v>
      </c>
      <c r="Q41" s="141"/>
    </row>
    <row r="42" spans="1:17" x14ac:dyDescent="0.2">
      <c r="A42" s="104">
        <f t="shared" si="0"/>
        <v>38</v>
      </c>
      <c r="B42" s="103" t="s">
        <v>2</v>
      </c>
      <c r="C42" s="153" t="s">
        <v>0</v>
      </c>
      <c r="D42" s="53">
        <f>SUM(D39:D41)</f>
        <v>30970361.550000001</v>
      </c>
      <c r="E42" s="61"/>
      <c r="F42" s="53">
        <f>SUM(F39:F41)</f>
        <v>36513233.740000002</v>
      </c>
      <c r="G42" s="61"/>
      <c r="H42" s="53">
        <f>SUM(H39:H41)</f>
        <v>32386946.640000001</v>
      </c>
      <c r="I42" s="61"/>
      <c r="J42" s="53">
        <f>SUM(J39:J41)</f>
        <v>30685364.18</v>
      </c>
      <c r="K42" s="54"/>
      <c r="L42" s="53">
        <f>SUM(L39:L41)</f>
        <v>25135369.359999999</v>
      </c>
      <c r="M42" s="54"/>
      <c r="N42" s="53">
        <f>SUM(N39:N41)</f>
        <v>27510344.379999999</v>
      </c>
      <c r="O42" s="54"/>
      <c r="P42" s="8"/>
      <c r="Q42" s="141"/>
    </row>
    <row r="43" spans="1:17" x14ac:dyDescent="0.2">
      <c r="A43" s="104">
        <f t="shared" si="0"/>
        <v>39</v>
      </c>
      <c r="D43" s="103"/>
      <c r="E43" s="61"/>
      <c r="G43" s="61"/>
      <c r="I43" s="61"/>
      <c r="K43" s="54"/>
      <c r="M43" s="54"/>
      <c r="O43" s="54"/>
      <c r="P43" s="8"/>
    </row>
    <row r="44" spans="1:17" x14ac:dyDescent="0.2">
      <c r="A44" s="104">
        <f t="shared" si="0"/>
        <v>40</v>
      </c>
      <c r="B44" s="103" t="s">
        <v>44</v>
      </c>
      <c r="C44" s="153" t="s">
        <v>81</v>
      </c>
      <c r="D44" s="55">
        <v>441154.94</v>
      </c>
      <c r="E44" s="57" t="s">
        <v>181</v>
      </c>
      <c r="F44" s="55">
        <v>445353.91</v>
      </c>
      <c r="G44" s="57" t="s">
        <v>193</v>
      </c>
      <c r="H44" s="55">
        <v>525060.43000000005</v>
      </c>
      <c r="I44" s="57" t="s">
        <v>204</v>
      </c>
      <c r="J44" s="55">
        <v>465724.4</v>
      </c>
      <c r="K44" s="57" t="s">
        <v>215</v>
      </c>
      <c r="L44" s="55">
        <v>441255.64</v>
      </c>
      <c r="M44" s="57" t="s">
        <v>229</v>
      </c>
      <c r="N44" s="55">
        <v>361446.7</v>
      </c>
      <c r="O44" s="57" t="s">
        <v>241</v>
      </c>
      <c r="P44" s="8"/>
      <c r="Q44" s="141"/>
    </row>
    <row r="45" spans="1:17" x14ac:dyDescent="0.2">
      <c r="A45" s="104">
        <f t="shared" si="0"/>
        <v>41</v>
      </c>
      <c r="B45" s="103" t="s">
        <v>45</v>
      </c>
      <c r="C45" s="153" t="s">
        <v>81</v>
      </c>
      <c r="D45" s="55">
        <v>-441154.94</v>
      </c>
      <c r="E45" s="57"/>
      <c r="F45" s="55">
        <f>-D46</f>
        <v>-445353.91</v>
      </c>
      <c r="G45" s="57" t="s">
        <v>5</v>
      </c>
      <c r="H45" s="55">
        <f>-F46</f>
        <v>-525060.43000000005</v>
      </c>
      <c r="I45" s="61"/>
      <c r="J45" s="55">
        <f>-H46</f>
        <v>-465724.4</v>
      </c>
      <c r="K45" s="52"/>
      <c r="L45" s="55">
        <f>-J46</f>
        <v>-441255.64</v>
      </c>
      <c r="M45" s="57"/>
      <c r="N45" s="55">
        <f>-L46</f>
        <v>-361446.7</v>
      </c>
      <c r="O45" s="57" t="s">
        <v>5</v>
      </c>
      <c r="P45" s="8"/>
      <c r="Q45" s="141"/>
    </row>
    <row r="46" spans="1:17" x14ac:dyDescent="0.2">
      <c r="A46" s="104">
        <f t="shared" si="0"/>
        <v>42</v>
      </c>
      <c r="B46" s="103" t="s">
        <v>46</v>
      </c>
      <c r="C46" s="153" t="s">
        <v>81</v>
      </c>
      <c r="D46" s="55">
        <v>445353.91</v>
      </c>
      <c r="E46" s="61"/>
      <c r="F46" s="55">
        <v>525060.43000000005</v>
      </c>
      <c r="G46" s="61"/>
      <c r="H46" s="55">
        <v>465724.4</v>
      </c>
      <c r="I46" s="61"/>
      <c r="J46" s="55">
        <v>441255.64</v>
      </c>
      <c r="K46" s="52"/>
      <c r="L46" s="55">
        <v>361446.7</v>
      </c>
      <c r="M46" s="52"/>
      <c r="N46" s="55">
        <v>395598.85</v>
      </c>
      <c r="O46" s="52"/>
      <c r="P46" s="8"/>
      <c r="Q46" s="141"/>
    </row>
    <row r="47" spans="1:17" x14ac:dyDescent="0.2">
      <c r="A47" s="104">
        <f t="shared" si="0"/>
        <v>43</v>
      </c>
      <c r="B47" s="103" t="s">
        <v>3</v>
      </c>
      <c r="C47" s="153" t="s">
        <v>0</v>
      </c>
      <c r="D47" s="53">
        <f>SUM(D44:D46)</f>
        <v>445353.91</v>
      </c>
      <c r="E47" s="57" t="s">
        <v>5</v>
      </c>
      <c r="F47" s="53">
        <f>SUM(F44:F46)</f>
        <v>525060.43000000005</v>
      </c>
      <c r="G47" s="61"/>
      <c r="H47" s="53">
        <f>SUM(H44:H46)</f>
        <v>465724.4</v>
      </c>
      <c r="I47" s="61"/>
      <c r="J47" s="53">
        <f>SUM(J44:J46)</f>
        <v>441255.64</v>
      </c>
      <c r="K47" s="54"/>
      <c r="L47" s="53">
        <f>SUM(L44:L46)</f>
        <v>361446.7</v>
      </c>
      <c r="M47" s="54"/>
      <c r="N47" s="53">
        <f>SUM(N44:N46)</f>
        <v>395598.85</v>
      </c>
      <c r="O47" s="54"/>
      <c r="P47" s="8"/>
      <c r="Q47" s="141"/>
    </row>
    <row r="48" spans="1:17" x14ac:dyDescent="0.2">
      <c r="A48" s="104">
        <f t="shared" si="0"/>
        <v>44</v>
      </c>
      <c r="D48" s="55"/>
      <c r="E48" s="61"/>
      <c r="G48" s="61"/>
      <c r="I48" s="61"/>
      <c r="K48" s="54"/>
      <c r="M48" s="54"/>
      <c r="O48" s="54"/>
      <c r="P48" s="8"/>
    </row>
    <row r="49" spans="1:18" x14ac:dyDescent="0.2">
      <c r="A49" s="104">
        <f t="shared" si="0"/>
        <v>45</v>
      </c>
      <c r="B49" s="103" t="s">
        <v>106</v>
      </c>
      <c r="C49" s="105">
        <v>456100</v>
      </c>
      <c r="D49" s="55">
        <v>-629621.93999999994</v>
      </c>
      <c r="E49" s="61" t="s">
        <v>183</v>
      </c>
      <c r="F49" s="55">
        <v>-522229.45</v>
      </c>
      <c r="G49" s="61" t="s">
        <v>194</v>
      </c>
      <c r="H49" s="55">
        <v>-487816.14</v>
      </c>
      <c r="I49" s="61" t="s">
        <v>205</v>
      </c>
      <c r="J49" s="55">
        <v>-582347.78</v>
      </c>
      <c r="K49" s="54" t="s">
        <v>216</v>
      </c>
      <c r="L49" s="55">
        <v>-659343.06000000006</v>
      </c>
      <c r="M49" s="54" t="s">
        <v>230</v>
      </c>
      <c r="N49" s="55">
        <v>-536059.93000000005</v>
      </c>
      <c r="O49" s="54" t="s">
        <v>242</v>
      </c>
      <c r="P49" s="8"/>
      <c r="Q49" s="141"/>
    </row>
    <row r="50" spans="1:18" x14ac:dyDescent="0.2">
      <c r="A50" s="104">
        <f t="shared" si="0"/>
        <v>46</v>
      </c>
      <c r="B50" s="103" t="s">
        <v>107</v>
      </c>
      <c r="C50" s="105">
        <v>408620</v>
      </c>
      <c r="D50" s="55">
        <v>53491</v>
      </c>
      <c r="E50" s="61" t="s">
        <v>182</v>
      </c>
      <c r="F50" s="55">
        <v>44370</v>
      </c>
      <c r="G50" s="61" t="s">
        <v>195</v>
      </c>
      <c r="H50" s="55">
        <v>41453</v>
      </c>
      <c r="I50" s="61" t="s">
        <v>206</v>
      </c>
      <c r="J50" s="55">
        <v>49500</v>
      </c>
      <c r="K50" s="54" t="s">
        <v>217</v>
      </c>
      <c r="L50" s="55">
        <v>56044</v>
      </c>
      <c r="M50" s="54" t="s">
        <v>125</v>
      </c>
      <c r="N50" s="55">
        <v>45565</v>
      </c>
      <c r="O50" s="54" t="s">
        <v>243</v>
      </c>
      <c r="P50" s="8"/>
      <c r="Q50" s="141"/>
    </row>
    <row r="51" spans="1:18" x14ac:dyDescent="0.2">
      <c r="A51" s="104">
        <f t="shared" si="0"/>
        <v>47</v>
      </c>
      <c r="B51" s="12" t="s">
        <v>131</v>
      </c>
      <c r="C51" s="105" t="s">
        <v>119</v>
      </c>
      <c r="D51" s="55">
        <v>-1750361.71</v>
      </c>
      <c r="E51" s="61" t="s">
        <v>184</v>
      </c>
      <c r="F51" s="55">
        <v>-1713945.3</v>
      </c>
      <c r="G51" s="61" t="s">
        <v>196</v>
      </c>
      <c r="H51" s="55">
        <v>-1702494.76</v>
      </c>
      <c r="I51" s="61" t="s">
        <v>124</v>
      </c>
      <c r="J51" s="55">
        <v>-1698334.81</v>
      </c>
      <c r="K51" s="54" t="s">
        <v>218</v>
      </c>
      <c r="L51" s="55">
        <v>-1763225.37</v>
      </c>
      <c r="M51" s="54" t="s">
        <v>231</v>
      </c>
      <c r="N51" s="55">
        <v>-1774207.92</v>
      </c>
      <c r="O51" s="54" t="s">
        <v>244</v>
      </c>
      <c r="P51" s="8"/>
      <c r="Q51" s="141"/>
    </row>
    <row r="52" spans="1:18" x14ac:dyDescent="0.2">
      <c r="A52" s="104">
        <f t="shared" si="0"/>
        <v>48</v>
      </c>
      <c r="B52" s="103" t="s">
        <v>84</v>
      </c>
      <c r="C52" s="153">
        <v>565580</v>
      </c>
      <c r="D52" s="55">
        <v>12025.58</v>
      </c>
      <c r="E52" s="57" t="s">
        <v>185</v>
      </c>
      <c r="F52" s="55">
        <v>12657.34</v>
      </c>
      <c r="G52" s="57" t="s">
        <v>197</v>
      </c>
      <c r="H52" s="55">
        <v>15440.84</v>
      </c>
      <c r="I52" s="57" t="s">
        <v>207</v>
      </c>
      <c r="J52" s="55">
        <v>14045.43</v>
      </c>
      <c r="K52" s="57" t="s">
        <v>219</v>
      </c>
      <c r="L52" s="55">
        <v>12915.68</v>
      </c>
      <c r="M52" s="57" t="s">
        <v>232</v>
      </c>
      <c r="N52" s="55">
        <v>19381.150000000001</v>
      </c>
      <c r="O52" s="57" t="s">
        <v>245</v>
      </c>
      <c r="P52" s="8"/>
      <c r="Q52" s="141"/>
    </row>
    <row r="53" spans="1:18" x14ac:dyDescent="0.2">
      <c r="A53" s="104">
        <f t="shared" si="0"/>
        <v>49</v>
      </c>
      <c r="B53" s="103" t="s">
        <v>121</v>
      </c>
      <c r="C53" s="153">
        <v>565590</v>
      </c>
      <c r="D53" s="55">
        <v>17522.900000000001</v>
      </c>
      <c r="E53" s="57" t="s">
        <v>186</v>
      </c>
      <c r="F53" s="55">
        <v>0</v>
      </c>
      <c r="G53" s="57"/>
      <c r="H53" s="55">
        <f>-12663.78+15740.76</f>
        <v>3076.9799999999996</v>
      </c>
      <c r="I53" s="57" t="s">
        <v>208</v>
      </c>
      <c r="J53" s="55">
        <v>15522.05</v>
      </c>
      <c r="K53" s="57" t="s">
        <v>220</v>
      </c>
      <c r="L53" s="55">
        <v>15586.38</v>
      </c>
      <c r="M53" s="57" t="s">
        <v>233</v>
      </c>
      <c r="N53" s="55">
        <v>15863.69</v>
      </c>
      <c r="O53" s="57" t="s">
        <v>246</v>
      </c>
      <c r="P53" s="8"/>
      <c r="Q53" s="141"/>
    </row>
    <row r="54" spans="1:18" x14ac:dyDescent="0.2">
      <c r="A54" s="104">
        <f t="shared" si="0"/>
        <v>50</v>
      </c>
      <c r="B54" s="103" t="s">
        <v>47</v>
      </c>
      <c r="C54" s="153">
        <v>565520</v>
      </c>
      <c r="D54" s="55">
        <v>398105.85</v>
      </c>
      <c r="E54" s="57" t="s">
        <v>187</v>
      </c>
      <c r="F54" s="55">
        <v>392321.3</v>
      </c>
      <c r="G54" s="57" t="s">
        <v>198</v>
      </c>
      <c r="H54" s="55">
        <v>305356.77</v>
      </c>
      <c r="I54" s="57" t="s">
        <v>209</v>
      </c>
      <c r="J54" s="55">
        <v>385119.5</v>
      </c>
      <c r="K54" s="57" t="s">
        <v>221</v>
      </c>
      <c r="L54" s="55">
        <v>467266.47</v>
      </c>
      <c r="M54" s="57" t="s">
        <v>234</v>
      </c>
      <c r="N54" s="55">
        <v>360773</v>
      </c>
      <c r="O54" s="57" t="s">
        <v>247</v>
      </c>
      <c r="P54" s="8"/>
      <c r="Q54" s="141"/>
      <c r="R54" s="161"/>
    </row>
    <row r="55" spans="1:18" x14ac:dyDescent="0.2">
      <c r="A55" s="104">
        <f t="shared" si="0"/>
        <v>51</v>
      </c>
      <c r="B55" s="103" t="s">
        <v>48</v>
      </c>
      <c r="C55" s="153">
        <v>565520</v>
      </c>
      <c r="D55" s="55">
        <v>201655.27</v>
      </c>
      <c r="E55" s="57" t="s">
        <v>188</v>
      </c>
      <c r="F55" s="55">
        <v>117021.43</v>
      </c>
      <c r="G55" s="57" t="s">
        <v>199</v>
      </c>
      <c r="H55" s="55">
        <v>163809.45000000001</v>
      </c>
      <c r="I55" s="57" t="s">
        <v>210</v>
      </c>
      <c r="J55" s="55">
        <v>167660.79999999999</v>
      </c>
      <c r="K55" s="57" t="s">
        <v>222</v>
      </c>
      <c r="L55" s="55">
        <v>163574.53</v>
      </c>
      <c r="M55" s="57" t="s">
        <v>235</v>
      </c>
      <c r="N55" s="55">
        <v>140042.09</v>
      </c>
      <c r="O55" s="57" t="s">
        <v>248</v>
      </c>
      <c r="P55" s="8"/>
      <c r="Q55" s="141"/>
    </row>
    <row r="56" spans="1:18" x14ac:dyDescent="0.2">
      <c r="A56" s="104">
        <f t="shared" si="0"/>
        <v>52</v>
      </c>
      <c r="B56" s="103" t="s">
        <v>83</v>
      </c>
      <c r="C56" s="153">
        <v>565520</v>
      </c>
      <c r="D56" s="55">
        <v>0</v>
      </c>
      <c r="E56" s="57"/>
      <c r="F56" s="55">
        <v>0</v>
      </c>
      <c r="G56" s="57"/>
      <c r="H56" s="55">
        <v>0</v>
      </c>
      <c r="I56" s="57"/>
      <c r="J56" s="55">
        <v>0</v>
      </c>
      <c r="K56" s="51"/>
      <c r="L56" s="55">
        <v>0</v>
      </c>
      <c r="M56" s="51"/>
      <c r="N56" s="55">
        <v>0</v>
      </c>
      <c r="O56" s="51"/>
      <c r="P56" s="8"/>
    </row>
    <row r="57" spans="1:18" x14ac:dyDescent="0.2">
      <c r="A57" s="104">
        <f t="shared" si="0"/>
        <v>53</v>
      </c>
      <c r="B57" s="103" t="s">
        <v>4</v>
      </c>
      <c r="C57" s="153" t="s">
        <v>0</v>
      </c>
      <c r="D57" s="53">
        <f>SUM(D49:D56)</f>
        <v>-1697183.0499999998</v>
      </c>
      <c r="F57" s="53">
        <f>SUM(F49:F56)</f>
        <v>-1669804.6800000002</v>
      </c>
      <c r="G57" s="55"/>
      <c r="H57" s="53">
        <f>SUM(H49:H56)</f>
        <v>-1661173.86</v>
      </c>
      <c r="I57" s="62"/>
      <c r="J57" s="53">
        <f>SUM(J49:J56)</f>
        <v>-1648834.8099999998</v>
      </c>
      <c r="K57" s="55"/>
      <c r="L57" s="53">
        <f>SUM(L49:L56)</f>
        <v>-1707181.37</v>
      </c>
      <c r="M57" s="55"/>
      <c r="N57" s="53">
        <f>SUM(N49:N56)</f>
        <v>-1728642.9200000002</v>
      </c>
      <c r="O57" s="55"/>
      <c r="P57" s="8"/>
      <c r="Q57" s="141"/>
    </row>
    <row r="58" spans="1:18" x14ac:dyDescent="0.2">
      <c r="A58" s="104">
        <f t="shared" si="0"/>
        <v>54</v>
      </c>
      <c r="C58" s="153"/>
      <c r="D58" s="49"/>
      <c r="F58" s="49"/>
      <c r="G58" s="55"/>
      <c r="H58" s="49"/>
      <c r="I58" s="62"/>
      <c r="J58" s="49"/>
      <c r="K58" s="55"/>
      <c r="L58" s="49"/>
      <c r="M58" s="55"/>
      <c r="N58" s="49"/>
      <c r="O58" s="55"/>
      <c r="P58" s="8"/>
    </row>
    <row r="59" spans="1:18" x14ac:dyDescent="0.2">
      <c r="A59" s="104">
        <f t="shared" si="0"/>
        <v>55</v>
      </c>
      <c r="B59" s="103" t="s">
        <v>104</v>
      </c>
      <c r="C59" s="153">
        <v>928000</v>
      </c>
      <c r="D59" s="49">
        <v>49868.49</v>
      </c>
      <c r="F59" s="49">
        <v>46153.08</v>
      </c>
      <c r="G59" s="55"/>
      <c r="H59" s="49">
        <v>54000.08</v>
      </c>
      <c r="I59" s="62"/>
      <c r="J59" s="49">
        <v>0</v>
      </c>
      <c r="K59" s="55"/>
      <c r="L59" s="49">
        <v>21551.78</v>
      </c>
      <c r="M59" s="55"/>
      <c r="N59" s="49">
        <v>-77.52</v>
      </c>
      <c r="O59" s="55"/>
      <c r="P59" s="8"/>
      <c r="Q59" s="141"/>
    </row>
    <row r="60" spans="1:18" x14ac:dyDescent="0.2">
      <c r="A60" s="104">
        <f t="shared" si="0"/>
        <v>56</v>
      </c>
      <c r="D60" s="55" t="s">
        <v>5</v>
      </c>
      <c r="G60" s="55"/>
      <c r="I60" s="55"/>
      <c r="K60" s="55"/>
      <c r="M60" s="55"/>
      <c r="O60" s="55"/>
      <c r="P60" s="8"/>
    </row>
    <row r="61" spans="1:18" x14ac:dyDescent="0.2">
      <c r="A61" s="104">
        <f t="shared" si="0"/>
        <v>57</v>
      </c>
      <c r="B61" s="103" t="s">
        <v>6</v>
      </c>
      <c r="C61" s="153">
        <v>408620</v>
      </c>
      <c r="D61" s="175">
        <v>3006189</v>
      </c>
      <c r="E61" s="51"/>
      <c r="F61" s="175">
        <v>3072020</v>
      </c>
      <c r="G61" s="51"/>
      <c r="H61" s="175">
        <v>2826738</v>
      </c>
      <c r="I61" s="51"/>
      <c r="J61" s="175">
        <v>2550722</v>
      </c>
      <c r="K61" s="51"/>
      <c r="L61" s="175">
        <v>2449769</v>
      </c>
      <c r="M61" s="51"/>
      <c r="N61" s="175">
        <v>2626347</v>
      </c>
      <c r="O61" s="51"/>
      <c r="P61" s="8"/>
      <c r="Q61" s="141"/>
    </row>
    <row r="62" spans="1:18" x14ac:dyDescent="0.2">
      <c r="A62" s="104">
        <f t="shared" si="0"/>
        <v>58</v>
      </c>
      <c r="D62" s="49"/>
      <c r="F62" s="49"/>
      <c r="G62" s="55"/>
      <c r="H62" s="49"/>
      <c r="I62" s="49"/>
      <c r="J62" s="49"/>
      <c r="K62" s="49"/>
      <c r="L62" s="49"/>
      <c r="M62" s="49"/>
      <c r="N62" s="49"/>
      <c r="O62" s="49"/>
      <c r="P62" s="8"/>
    </row>
    <row r="63" spans="1:18" ht="13.5" thickBot="1" x14ac:dyDescent="0.25">
      <c r="A63" s="104">
        <f t="shared" si="0"/>
        <v>59</v>
      </c>
      <c r="B63" s="103" t="s">
        <v>116</v>
      </c>
      <c r="D63" s="127">
        <f>SUM(D37,D42,D47,D57,D59,D61)</f>
        <v>39113062.789999999</v>
      </c>
      <c r="F63" s="127">
        <f>SUM(F37,F42,F47,F57,F59,F61)</f>
        <v>44824571.240000002</v>
      </c>
      <c r="G63" s="55"/>
      <c r="H63" s="127">
        <f>SUM(H37,H42,H47,H57,H59,H61)</f>
        <v>40412489.409999996</v>
      </c>
      <c r="I63" s="49"/>
      <c r="J63" s="127">
        <f>SUM(J37,J42,J47,J57,J59,J61)</f>
        <v>38366961.289999999</v>
      </c>
      <c r="K63" s="49"/>
      <c r="L63" s="127">
        <f>SUM(L37,L42,L47,L57,L59,L61)</f>
        <v>24449416.039999999</v>
      </c>
      <c r="M63" s="49"/>
      <c r="N63" s="127">
        <f>SUM(N37,N42,N47,N57,N59,N61)</f>
        <v>34690360.109999999</v>
      </c>
      <c r="O63" s="49"/>
      <c r="P63" s="8"/>
      <c r="Q63" s="141"/>
    </row>
    <row r="64" spans="1:18" ht="13.5" thickTop="1" x14ac:dyDescent="0.2">
      <c r="A64" s="104">
        <f t="shared" si="0"/>
        <v>60</v>
      </c>
      <c r="D64" s="49"/>
      <c r="F64" s="49"/>
      <c r="G64" s="55"/>
      <c r="H64" s="49"/>
      <c r="I64" s="49"/>
      <c r="J64" s="49"/>
      <c r="K64" s="49"/>
      <c r="L64" s="49"/>
      <c r="M64" s="49"/>
      <c r="N64" s="49"/>
      <c r="O64" s="55"/>
      <c r="P64" s="8"/>
    </row>
    <row r="65" spans="1:16" x14ac:dyDescent="0.2">
      <c r="A65" s="104">
        <f t="shared" si="0"/>
        <v>61</v>
      </c>
      <c r="D65" s="49"/>
      <c r="E65" s="139"/>
      <c r="F65" s="49"/>
      <c r="G65" s="49"/>
      <c r="H65" s="49"/>
      <c r="I65" s="49"/>
      <c r="J65" s="49"/>
      <c r="K65" s="49"/>
      <c r="L65" s="49"/>
      <c r="M65" s="49"/>
      <c r="N65" s="49"/>
      <c r="O65" s="55"/>
      <c r="P65" s="8"/>
    </row>
    <row r="66" spans="1:16" x14ac:dyDescent="0.2">
      <c r="A66" s="104">
        <f t="shared" si="0"/>
        <v>62</v>
      </c>
      <c r="B66" s="157" t="s">
        <v>49</v>
      </c>
      <c r="C66" s="155" t="s">
        <v>50</v>
      </c>
      <c r="F66" s="49"/>
      <c r="G66" s="55"/>
      <c r="H66" s="49"/>
      <c r="I66" s="49"/>
      <c r="J66" s="49"/>
      <c r="K66" s="49"/>
      <c r="L66" s="49"/>
      <c r="M66" s="49"/>
      <c r="N66" s="49"/>
      <c r="O66" s="55"/>
      <c r="P66" s="8"/>
    </row>
    <row r="67" spans="1:16" x14ac:dyDescent="0.2">
      <c r="A67" s="104">
        <f t="shared" si="0"/>
        <v>63</v>
      </c>
      <c r="B67" s="103" t="s">
        <v>51</v>
      </c>
      <c r="C67" s="153" t="s">
        <v>52</v>
      </c>
      <c r="F67" s="49"/>
      <c r="G67" s="55"/>
      <c r="H67" s="49"/>
      <c r="I67" s="49"/>
      <c r="J67" s="49"/>
      <c r="K67" s="49"/>
      <c r="L67" s="49"/>
      <c r="M67" s="49"/>
      <c r="N67" s="49"/>
      <c r="O67" s="55"/>
      <c r="P67" s="8"/>
    </row>
    <row r="68" spans="1:16" x14ac:dyDescent="0.2">
      <c r="A68" s="104">
        <f t="shared" si="0"/>
        <v>64</v>
      </c>
      <c r="B68" s="103" t="s">
        <v>53</v>
      </c>
      <c r="C68" s="153" t="s">
        <v>54</v>
      </c>
      <c r="F68" s="49"/>
      <c r="G68" s="55"/>
      <c r="H68" s="49"/>
      <c r="I68" s="49"/>
      <c r="J68" s="49"/>
      <c r="K68" s="49"/>
      <c r="L68" s="49"/>
      <c r="M68" s="49"/>
      <c r="N68" s="49"/>
      <c r="O68" s="55"/>
      <c r="P68" s="8"/>
    </row>
    <row r="69" spans="1:16" x14ac:dyDescent="0.2">
      <c r="A69" s="104">
        <f t="shared" si="0"/>
        <v>65</v>
      </c>
      <c r="B69" s="103" t="s">
        <v>55</v>
      </c>
      <c r="C69" s="153" t="s">
        <v>56</v>
      </c>
      <c r="F69" s="49"/>
      <c r="G69" s="55"/>
      <c r="H69" s="49"/>
      <c r="I69" s="49"/>
      <c r="J69" s="49"/>
      <c r="K69" s="49"/>
      <c r="L69" s="49"/>
      <c r="M69" s="49"/>
      <c r="N69" s="49"/>
      <c r="O69" s="55"/>
      <c r="P69" s="8"/>
    </row>
    <row r="70" spans="1:16" x14ac:dyDescent="0.2">
      <c r="A70" s="104">
        <f t="shared" si="0"/>
        <v>66</v>
      </c>
      <c r="B70" s="103" t="s">
        <v>57</v>
      </c>
      <c r="C70" s="153" t="s">
        <v>58</v>
      </c>
      <c r="F70" s="49"/>
      <c r="G70" s="55"/>
      <c r="H70" s="49"/>
      <c r="I70" s="49"/>
      <c r="J70" s="49"/>
      <c r="K70" s="49"/>
      <c r="L70" s="49"/>
      <c r="M70" s="49"/>
      <c r="N70" s="49"/>
      <c r="O70" s="55"/>
      <c r="P70" s="8"/>
    </row>
    <row r="71" spans="1:16" x14ac:dyDescent="0.2">
      <c r="A71" s="104">
        <f t="shared" si="0"/>
        <v>67</v>
      </c>
      <c r="B71" s="103" t="s">
        <v>59</v>
      </c>
      <c r="C71" s="153" t="s">
        <v>60</v>
      </c>
      <c r="F71" s="49"/>
      <c r="G71" s="55"/>
      <c r="H71" s="49"/>
      <c r="I71" s="49"/>
      <c r="J71" s="49"/>
      <c r="K71" s="49"/>
      <c r="L71" s="49"/>
      <c r="M71" s="49"/>
      <c r="N71" s="49"/>
      <c r="O71" s="55"/>
      <c r="P71" s="8"/>
    </row>
    <row r="72" spans="1:16" x14ac:dyDescent="0.2">
      <c r="F72" s="49"/>
      <c r="G72" s="55"/>
      <c r="H72" s="49"/>
      <c r="I72" s="49"/>
      <c r="J72" s="49"/>
      <c r="K72" s="49"/>
      <c r="L72" s="49"/>
      <c r="M72" s="49"/>
      <c r="N72" s="49"/>
      <c r="O72" s="55"/>
      <c r="P72" s="8"/>
    </row>
    <row r="73" spans="1:16" x14ac:dyDescent="0.2">
      <c r="D73" s="49"/>
      <c r="F73" s="49"/>
      <c r="G73" s="55"/>
      <c r="H73" s="49"/>
      <c r="I73" s="49"/>
      <c r="J73" s="49"/>
      <c r="K73" s="49"/>
      <c r="L73" s="49"/>
      <c r="M73" s="49"/>
      <c r="N73" s="49"/>
      <c r="O73" s="55"/>
      <c r="P73" s="8"/>
    </row>
    <row r="74" spans="1:16" x14ac:dyDescent="0.2">
      <c r="A74" s="8"/>
      <c r="D74" s="49"/>
      <c r="F74" s="49"/>
      <c r="G74" s="55"/>
      <c r="H74" s="49"/>
      <c r="I74" s="49"/>
      <c r="J74" s="49"/>
      <c r="K74" s="49"/>
      <c r="L74" s="49"/>
      <c r="M74" s="49"/>
      <c r="N74" s="49"/>
      <c r="O74" s="55"/>
      <c r="P74" s="8"/>
    </row>
    <row r="75" spans="1:16" x14ac:dyDescent="0.2">
      <c r="A75" s="8"/>
      <c r="O75" s="55"/>
    </row>
    <row r="76" spans="1:16" x14ac:dyDescent="0.2">
      <c r="A76" s="8"/>
      <c r="B76" s="156" t="s">
        <v>5</v>
      </c>
      <c r="C76" s="156"/>
      <c r="D76" s="101" t="s">
        <v>5</v>
      </c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56" t="s">
        <v>5</v>
      </c>
    </row>
    <row r="77" spans="1:16" x14ac:dyDescent="0.2">
      <c r="A77" s="8"/>
      <c r="D77" s="158"/>
      <c r="E77" s="158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54"/>
    </row>
  </sheetData>
  <mergeCells count="3">
    <mergeCell ref="B4:O4"/>
    <mergeCell ref="B5:O5"/>
    <mergeCell ref="B6:O6"/>
  </mergeCells>
  <pageMargins left="0.45" right="0" top="1" bottom="0.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9"/>
  <sheetViews>
    <sheetView zoomScaleNormal="100" workbookViewId="0"/>
  </sheetViews>
  <sheetFormatPr defaultColWidth="9.140625" defaultRowHeight="12.75" x14ac:dyDescent="0.2"/>
  <cols>
    <col min="1" max="1" width="3.42578125" style="104" customWidth="1"/>
    <col min="2" max="2" width="65.7109375" style="103" bestFit="1" customWidth="1"/>
    <col min="3" max="3" width="13.7109375" style="8" bestFit="1" customWidth="1"/>
    <col min="4" max="4" width="12.28515625" style="8" customWidth="1"/>
    <col min="5" max="5" width="11.85546875" style="54" customWidth="1"/>
    <col min="6" max="6" width="12.28515625" style="55" customWidth="1"/>
    <col min="7" max="7" width="12.5703125" style="8" customWidth="1"/>
    <col min="8" max="8" width="12.28515625" style="55" customWidth="1"/>
    <col min="9" max="9" width="11.5703125" style="8" bestFit="1" customWidth="1"/>
    <col min="10" max="10" width="12.28515625" style="55" customWidth="1"/>
    <col min="11" max="11" width="11.5703125" style="8" bestFit="1" customWidth="1"/>
    <col min="12" max="12" width="11.85546875" style="55" bestFit="1" customWidth="1"/>
    <col min="13" max="13" width="11.5703125" style="8" bestFit="1" customWidth="1"/>
    <col min="14" max="14" width="14.5703125" style="55" bestFit="1" customWidth="1"/>
    <col min="15" max="15" width="11.5703125" style="8" bestFit="1" customWidth="1"/>
    <col min="16" max="16" width="22.85546875" style="8" customWidth="1"/>
    <col min="17" max="16384" width="9.140625" style="8"/>
  </cols>
  <sheetData>
    <row r="1" spans="1:15" x14ac:dyDescent="0.2">
      <c r="A1" s="8"/>
      <c r="B1" s="103" t="s">
        <v>73</v>
      </c>
      <c r="E1" s="103"/>
      <c r="F1" s="8"/>
      <c r="G1" s="103"/>
      <c r="H1" s="8"/>
      <c r="J1" s="8"/>
      <c r="L1" s="8"/>
      <c r="N1" s="8"/>
      <c r="O1" s="134" t="s">
        <v>314</v>
      </c>
    </row>
    <row r="2" spans="1:15" x14ac:dyDescent="0.2">
      <c r="A2" s="8"/>
      <c r="B2" s="103" t="str">
        <f>TOC!B2</f>
        <v>Docket No. 20-03-01</v>
      </c>
      <c r="E2" s="103"/>
      <c r="F2" s="8"/>
      <c r="G2" s="103"/>
      <c r="H2" s="8"/>
      <c r="I2" s="134"/>
      <c r="J2" s="8"/>
      <c r="L2" s="8"/>
      <c r="N2" s="8"/>
    </row>
    <row r="3" spans="1:15" s="103" customFormat="1" x14ac:dyDescent="0.2"/>
    <row r="4" spans="1:15" x14ac:dyDescent="0.2">
      <c r="B4" s="200" t="s">
        <v>72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5" spans="1:15" x14ac:dyDescent="0.2">
      <c r="A5" s="104">
        <v>1</v>
      </c>
      <c r="B5" s="200" t="s">
        <v>37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</row>
    <row r="6" spans="1:15" x14ac:dyDescent="0.2">
      <c r="A6" s="104">
        <f t="shared" ref="A6:A71" si="0">A5+1</f>
        <v>2</v>
      </c>
      <c r="B6" s="200" t="s">
        <v>155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</row>
    <row r="7" spans="1:15" x14ac:dyDescent="0.2">
      <c r="A7" s="104">
        <f t="shared" si="0"/>
        <v>3</v>
      </c>
      <c r="B7" s="200" t="s">
        <v>5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</row>
    <row r="8" spans="1:15" ht="22.5" x14ac:dyDescent="0.3">
      <c r="A8" s="104">
        <f t="shared" si="0"/>
        <v>4</v>
      </c>
      <c r="B8" s="163"/>
      <c r="I8" s="8" t="s">
        <v>5</v>
      </c>
      <c r="L8" s="55" t="s">
        <v>5</v>
      </c>
    </row>
    <row r="9" spans="1:15" x14ac:dyDescent="0.2">
      <c r="A9" s="104">
        <f t="shared" si="0"/>
        <v>5</v>
      </c>
      <c r="B9" s="156" t="s">
        <v>5</v>
      </c>
      <c r="C9" s="152" t="s">
        <v>74</v>
      </c>
      <c r="D9" s="203" t="s">
        <v>22</v>
      </c>
      <c r="E9" s="203"/>
      <c r="F9" s="203" t="s">
        <v>23</v>
      </c>
      <c r="G9" s="203"/>
      <c r="H9" s="203" t="s">
        <v>24</v>
      </c>
      <c r="I9" s="203"/>
      <c r="J9" s="203" t="s">
        <v>25</v>
      </c>
      <c r="K9" s="203"/>
      <c r="L9" s="203" t="s">
        <v>26</v>
      </c>
      <c r="M9" s="203"/>
      <c r="N9" s="203" t="s">
        <v>27</v>
      </c>
      <c r="O9" s="203"/>
    </row>
    <row r="10" spans="1:15" x14ac:dyDescent="0.2">
      <c r="A10" s="104">
        <f t="shared" si="0"/>
        <v>6</v>
      </c>
      <c r="B10" s="155" t="s">
        <v>8</v>
      </c>
      <c r="C10" s="151" t="s">
        <v>75</v>
      </c>
      <c r="D10" s="125" t="s">
        <v>82</v>
      </c>
      <c r="E10" s="109" t="s">
        <v>12</v>
      </c>
      <c r="F10" s="125" t="s">
        <v>82</v>
      </c>
      <c r="G10" s="109" t="s">
        <v>12</v>
      </c>
      <c r="H10" s="125" t="s">
        <v>82</v>
      </c>
      <c r="I10" s="109" t="s">
        <v>12</v>
      </c>
      <c r="J10" s="125" t="s">
        <v>82</v>
      </c>
      <c r="K10" s="109" t="s">
        <v>12</v>
      </c>
      <c r="L10" s="125" t="s">
        <v>82</v>
      </c>
      <c r="M10" s="109" t="s">
        <v>12</v>
      </c>
      <c r="N10" s="125" t="s">
        <v>82</v>
      </c>
      <c r="O10" s="109" t="s">
        <v>12</v>
      </c>
    </row>
    <row r="11" spans="1:15" x14ac:dyDescent="0.2">
      <c r="A11" s="104">
        <f t="shared" si="0"/>
        <v>7</v>
      </c>
      <c r="B11" s="159" t="s">
        <v>85</v>
      </c>
      <c r="C11" s="100" t="s">
        <v>76</v>
      </c>
      <c r="D11" s="172">
        <v>1723330</v>
      </c>
      <c r="F11" s="172">
        <v>1727115</v>
      </c>
      <c r="G11" s="51" t="s">
        <v>5</v>
      </c>
      <c r="H11" s="174">
        <v>1724065</v>
      </c>
      <c r="I11" s="51" t="s">
        <v>5</v>
      </c>
      <c r="J11" s="172">
        <v>1727454</v>
      </c>
      <c r="K11" s="51" t="s">
        <v>5</v>
      </c>
      <c r="L11" s="172">
        <v>1738444</v>
      </c>
      <c r="M11" s="51" t="s">
        <v>5</v>
      </c>
      <c r="N11" s="172">
        <v>1727171</v>
      </c>
      <c r="O11" s="51" t="s">
        <v>5</v>
      </c>
    </row>
    <row r="12" spans="1:15" x14ac:dyDescent="0.2">
      <c r="A12" s="104">
        <f t="shared" si="0"/>
        <v>8</v>
      </c>
      <c r="B12" s="159" t="s">
        <v>86</v>
      </c>
      <c r="C12" s="100" t="s">
        <v>77</v>
      </c>
      <c r="D12" s="171">
        <v>2277494</v>
      </c>
      <c r="E12" s="51"/>
      <c r="F12" s="171">
        <v>2282498</v>
      </c>
      <c r="G12" s="51"/>
      <c r="H12" s="171">
        <v>2278465</v>
      </c>
      <c r="I12" s="51" t="s">
        <v>5</v>
      </c>
      <c r="J12" s="171">
        <v>2282946</v>
      </c>
      <c r="K12" s="51"/>
      <c r="L12" s="171">
        <v>2297469</v>
      </c>
      <c r="M12" s="51"/>
      <c r="N12" s="171">
        <v>2282573</v>
      </c>
      <c r="O12" s="51"/>
    </row>
    <row r="13" spans="1:15" x14ac:dyDescent="0.2">
      <c r="A13" s="104">
        <f t="shared" si="0"/>
        <v>9</v>
      </c>
      <c r="B13" s="159" t="s">
        <v>123</v>
      </c>
      <c r="C13" s="100" t="s">
        <v>0</v>
      </c>
      <c r="D13" s="172">
        <f>D11+D12</f>
        <v>4000824</v>
      </c>
      <c r="E13" s="57" t="s">
        <v>249</v>
      </c>
      <c r="F13" s="172">
        <f>F11+F12</f>
        <v>4009613</v>
      </c>
      <c r="G13" s="57" t="s">
        <v>126</v>
      </c>
      <c r="H13" s="172">
        <f>H11+H12</f>
        <v>4002530</v>
      </c>
      <c r="I13" s="57" t="s">
        <v>269</v>
      </c>
      <c r="J13" s="172">
        <f>J11+J12</f>
        <v>4010400</v>
      </c>
      <c r="K13" s="57" t="s">
        <v>130</v>
      </c>
      <c r="L13" s="172">
        <f>L11+L12</f>
        <v>4035913</v>
      </c>
      <c r="M13" s="57" t="s">
        <v>291</v>
      </c>
      <c r="N13" s="172">
        <f>N11+N12</f>
        <v>4009744</v>
      </c>
      <c r="O13" s="57" t="s">
        <v>302</v>
      </c>
    </row>
    <row r="14" spans="1:15" x14ac:dyDescent="0.2">
      <c r="A14" s="104">
        <f t="shared" si="0"/>
        <v>10</v>
      </c>
      <c r="B14" s="159"/>
      <c r="C14" s="100"/>
      <c r="D14" s="172"/>
      <c r="E14" s="57"/>
      <c r="F14" s="172"/>
      <c r="G14" s="57"/>
      <c r="H14" s="172"/>
      <c r="I14" s="57"/>
      <c r="J14" s="172"/>
      <c r="K14" s="51"/>
      <c r="L14" s="172"/>
      <c r="M14" s="51"/>
      <c r="N14" s="172"/>
      <c r="O14" s="51"/>
    </row>
    <row r="15" spans="1:15" x14ac:dyDescent="0.2">
      <c r="A15" s="104">
        <f t="shared" si="0"/>
        <v>11</v>
      </c>
      <c r="B15" s="159" t="s">
        <v>39</v>
      </c>
      <c r="C15" s="100" t="s">
        <v>76</v>
      </c>
      <c r="D15" s="172">
        <v>0</v>
      </c>
      <c r="E15" s="57"/>
      <c r="F15" s="172">
        <v>0</v>
      </c>
      <c r="G15" s="57"/>
      <c r="H15" s="172">
        <v>0</v>
      </c>
      <c r="I15" s="57"/>
      <c r="J15" s="172">
        <v>0</v>
      </c>
      <c r="K15" s="51"/>
      <c r="L15" s="172">
        <v>0</v>
      </c>
      <c r="M15" s="51"/>
      <c r="N15" s="172">
        <v>0</v>
      </c>
      <c r="O15" s="51"/>
    </row>
    <row r="16" spans="1:15" x14ac:dyDescent="0.2">
      <c r="A16" s="104">
        <f t="shared" si="0"/>
        <v>12</v>
      </c>
      <c r="B16" s="159" t="s">
        <v>39</v>
      </c>
      <c r="C16" s="100" t="s">
        <v>77</v>
      </c>
      <c r="D16" s="171">
        <v>0</v>
      </c>
      <c r="E16" s="57"/>
      <c r="F16" s="171">
        <v>0</v>
      </c>
      <c r="G16" s="57"/>
      <c r="H16" s="171">
        <v>0</v>
      </c>
      <c r="I16" s="57"/>
      <c r="J16" s="171">
        <v>0</v>
      </c>
      <c r="K16" s="51"/>
      <c r="L16" s="171">
        <v>0</v>
      </c>
      <c r="M16" s="51"/>
      <c r="N16" s="171">
        <v>0</v>
      </c>
      <c r="O16" s="51"/>
    </row>
    <row r="17" spans="1:15" x14ac:dyDescent="0.2">
      <c r="A17" s="104">
        <f t="shared" si="0"/>
        <v>13</v>
      </c>
      <c r="B17" s="159"/>
      <c r="C17" s="100" t="s">
        <v>0</v>
      </c>
      <c r="D17" s="172">
        <f>D15+D16</f>
        <v>0</v>
      </c>
      <c r="E17" s="57"/>
      <c r="F17" s="172">
        <f>F15+F16</f>
        <v>0</v>
      </c>
      <c r="G17" s="57"/>
      <c r="H17" s="172">
        <f>H15+H16</f>
        <v>0</v>
      </c>
      <c r="I17" s="57"/>
      <c r="J17" s="172">
        <f>J15+J16</f>
        <v>0</v>
      </c>
      <c r="K17" s="51"/>
      <c r="L17" s="172">
        <f>L15+L16</f>
        <v>0</v>
      </c>
      <c r="M17" s="57" t="s">
        <v>5</v>
      </c>
      <c r="N17" s="172">
        <f>N15+N16</f>
        <v>0</v>
      </c>
      <c r="O17" s="57" t="s">
        <v>5</v>
      </c>
    </row>
    <row r="18" spans="1:15" x14ac:dyDescent="0.2">
      <c r="A18" s="104">
        <f t="shared" si="0"/>
        <v>14</v>
      </c>
      <c r="B18" s="159"/>
      <c r="C18" s="99"/>
      <c r="D18" s="172" t="s">
        <v>5</v>
      </c>
      <c r="E18" s="57"/>
      <c r="F18" s="172"/>
      <c r="G18" s="57"/>
      <c r="H18" s="172"/>
      <c r="I18" s="57"/>
      <c r="J18" s="172"/>
      <c r="K18" s="51"/>
      <c r="L18" s="172"/>
      <c r="M18" s="51"/>
      <c r="N18" s="172"/>
      <c r="O18" s="51"/>
    </row>
    <row r="19" spans="1:15" x14ac:dyDescent="0.2">
      <c r="A19" s="104">
        <f t="shared" si="0"/>
        <v>15</v>
      </c>
      <c r="B19" s="159" t="s">
        <v>88</v>
      </c>
      <c r="C19" s="100" t="s">
        <v>76</v>
      </c>
      <c r="D19" s="172">
        <v>1713159</v>
      </c>
      <c r="E19" s="57" t="s">
        <v>115</v>
      </c>
      <c r="F19" s="172">
        <v>1711260</v>
      </c>
      <c r="G19" s="57" t="s">
        <v>260</v>
      </c>
      <c r="H19" s="172">
        <v>1711617</v>
      </c>
      <c r="I19" s="57" t="s">
        <v>270</v>
      </c>
      <c r="J19" s="172">
        <v>1714969</v>
      </c>
      <c r="K19" s="57" t="s">
        <v>280</v>
      </c>
      <c r="L19" s="172">
        <v>1705138</v>
      </c>
      <c r="M19" s="57" t="s">
        <v>292</v>
      </c>
      <c r="N19" s="172">
        <v>1710858</v>
      </c>
      <c r="O19" s="57" t="s">
        <v>303</v>
      </c>
    </row>
    <row r="20" spans="1:15" x14ac:dyDescent="0.2">
      <c r="A20" s="104">
        <f t="shared" si="0"/>
        <v>16</v>
      </c>
      <c r="B20" s="159" t="s">
        <v>102</v>
      </c>
      <c r="C20" s="100" t="s">
        <v>76</v>
      </c>
      <c r="D20" s="172">
        <v>0</v>
      </c>
      <c r="E20" s="57"/>
      <c r="F20" s="172">
        <v>0</v>
      </c>
      <c r="G20" s="57"/>
      <c r="H20" s="172">
        <v>0</v>
      </c>
      <c r="I20" s="57"/>
      <c r="J20" s="172">
        <v>0</v>
      </c>
      <c r="K20" s="51"/>
      <c r="L20" s="172">
        <v>0</v>
      </c>
      <c r="M20" s="51"/>
      <c r="N20" s="172">
        <v>0</v>
      </c>
      <c r="O20" s="51"/>
    </row>
    <row r="21" spans="1:15" x14ac:dyDescent="0.2">
      <c r="A21" s="104">
        <f t="shared" si="0"/>
        <v>17</v>
      </c>
      <c r="B21" s="159" t="s">
        <v>80</v>
      </c>
      <c r="E21" s="61"/>
      <c r="G21" s="104"/>
      <c r="I21" s="104"/>
    </row>
    <row r="22" spans="1:15" x14ac:dyDescent="0.2">
      <c r="A22" s="104">
        <f t="shared" si="0"/>
        <v>18</v>
      </c>
      <c r="B22" s="103" t="s">
        <v>46</v>
      </c>
      <c r="C22" s="100" t="s">
        <v>78</v>
      </c>
      <c r="D22" s="172">
        <v>666000</v>
      </c>
      <c r="E22" s="57"/>
      <c r="F22" s="172">
        <v>664000</v>
      </c>
      <c r="G22" s="57"/>
      <c r="H22" s="172">
        <v>664000</v>
      </c>
      <c r="I22" s="57"/>
      <c r="J22" s="172">
        <v>664000</v>
      </c>
      <c r="K22" s="51"/>
      <c r="L22" s="172">
        <v>665000</v>
      </c>
      <c r="M22" s="51"/>
      <c r="N22" s="172">
        <v>661000</v>
      </c>
      <c r="O22" s="102"/>
    </row>
    <row r="23" spans="1:15" x14ac:dyDescent="0.2">
      <c r="A23" s="104">
        <f t="shared" si="0"/>
        <v>19</v>
      </c>
      <c r="B23" s="103" t="s">
        <v>45</v>
      </c>
      <c r="C23" s="100" t="s">
        <v>78</v>
      </c>
      <c r="D23" s="172">
        <v>-695000</v>
      </c>
      <c r="E23" s="57"/>
      <c r="F23" s="172">
        <f>-D22</f>
        <v>-666000</v>
      </c>
      <c r="G23" s="57"/>
      <c r="H23" s="172">
        <f>-F22</f>
        <v>-664000</v>
      </c>
      <c r="I23" s="57"/>
      <c r="J23" s="172">
        <f>-H22</f>
        <v>-664000</v>
      </c>
      <c r="K23" s="51"/>
      <c r="L23" s="172">
        <f>-J22</f>
        <v>-664000</v>
      </c>
      <c r="M23" s="51"/>
      <c r="N23" s="172">
        <f>-L22</f>
        <v>-665000</v>
      </c>
      <c r="O23" s="102"/>
    </row>
    <row r="24" spans="1:15" x14ac:dyDescent="0.2">
      <c r="A24" s="104">
        <f t="shared" si="0"/>
        <v>20</v>
      </c>
      <c r="B24" s="159" t="s">
        <v>40</v>
      </c>
      <c r="C24" s="100" t="s">
        <v>78</v>
      </c>
      <c r="D24" s="171">
        <v>665588</v>
      </c>
      <c r="E24" s="57" t="s">
        <v>250</v>
      </c>
      <c r="F24" s="171">
        <v>664496.1</v>
      </c>
      <c r="G24" s="57" t="s">
        <v>261</v>
      </c>
      <c r="H24" s="171">
        <v>663759.5</v>
      </c>
      <c r="I24" s="57" t="s">
        <v>271</v>
      </c>
      <c r="J24" s="171">
        <v>663898.16</v>
      </c>
      <c r="K24" s="57" t="s">
        <v>281</v>
      </c>
      <c r="L24" s="171">
        <v>665198.03</v>
      </c>
      <c r="M24" s="57" t="s">
        <v>293</v>
      </c>
      <c r="N24" s="171">
        <v>661385.06999999995</v>
      </c>
      <c r="O24" s="57" t="s">
        <v>304</v>
      </c>
    </row>
    <row r="25" spans="1:15" x14ac:dyDescent="0.2">
      <c r="A25" s="104">
        <f t="shared" si="0"/>
        <v>21</v>
      </c>
      <c r="B25" s="159"/>
      <c r="C25" s="100" t="s">
        <v>0</v>
      </c>
      <c r="D25" s="172">
        <f>SUM(D22:D24)</f>
        <v>636588</v>
      </c>
      <c r="E25" s="57"/>
      <c r="F25" s="172">
        <f>SUM(F22:F24)</f>
        <v>662496.1</v>
      </c>
      <c r="G25" s="57"/>
      <c r="H25" s="172">
        <f>SUM(H22:H24)</f>
        <v>663759.5</v>
      </c>
      <c r="I25" s="57"/>
      <c r="J25" s="172">
        <f>SUM(J22:J24)</f>
        <v>663898.16</v>
      </c>
      <c r="K25" s="51"/>
      <c r="L25" s="172">
        <f>SUM(L22:L24)</f>
        <v>666198.03</v>
      </c>
      <c r="M25" s="51"/>
      <c r="N25" s="172">
        <f>SUM(N22:N24)</f>
        <v>657385.06999999995</v>
      </c>
      <c r="O25" s="51"/>
    </row>
    <row r="26" spans="1:15" x14ac:dyDescent="0.2">
      <c r="A26" s="104">
        <f t="shared" si="0"/>
        <v>22</v>
      </c>
      <c r="B26" s="159"/>
      <c r="C26" s="100"/>
      <c r="D26" s="172"/>
      <c r="E26" s="57"/>
      <c r="F26" s="172"/>
      <c r="G26" s="57"/>
      <c r="H26" s="172"/>
      <c r="I26" s="57"/>
      <c r="J26" s="172"/>
      <c r="K26" s="51"/>
      <c r="L26" s="172"/>
      <c r="M26" s="51"/>
      <c r="N26" s="172"/>
      <c r="O26" s="51"/>
    </row>
    <row r="27" spans="1:15" x14ac:dyDescent="0.2">
      <c r="A27" s="104">
        <f t="shared" si="0"/>
        <v>23</v>
      </c>
      <c r="B27" s="159" t="s">
        <v>42</v>
      </c>
      <c r="C27" s="100" t="s">
        <v>78</v>
      </c>
      <c r="D27" s="172">
        <v>0</v>
      </c>
      <c r="E27" s="57"/>
      <c r="F27" s="172">
        <v>0</v>
      </c>
      <c r="G27" s="57"/>
      <c r="H27" s="172">
        <v>0</v>
      </c>
      <c r="I27" s="57"/>
      <c r="J27" s="172">
        <v>0</v>
      </c>
      <c r="K27" s="51"/>
      <c r="L27" s="172">
        <v>0</v>
      </c>
      <c r="M27" s="51"/>
      <c r="N27" s="172">
        <v>0</v>
      </c>
      <c r="O27" s="51"/>
    </row>
    <row r="28" spans="1:15" x14ac:dyDescent="0.2">
      <c r="A28" s="104">
        <f t="shared" si="0"/>
        <v>24</v>
      </c>
      <c r="B28" s="159"/>
      <c r="C28" s="100"/>
      <c r="D28" s="172"/>
      <c r="E28" s="57"/>
      <c r="F28" s="172"/>
      <c r="G28" s="57"/>
      <c r="H28" s="172"/>
      <c r="I28" s="57"/>
      <c r="J28" s="172"/>
      <c r="K28" s="51"/>
      <c r="L28" s="172"/>
      <c r="M28" s="51"/>
      <c r="N28" s="172"/>
      <c r="O28" s="51"/>
    </row>
    <row r="29" spans="1:15" x14ac:dyDescent="0.2">
      <c r="A29" s="104">
        <f t="shared" si="0"/>
        <v>25</v>
      </c>
      <c r="B29" s="159" t="s">
        <v>87</v>
      </c>
      <c r="E29" s="61"/>
      <c r="G29" s="104"/>
      <c r="I29" s="104"/>
    </row>
    <row r="30" spans="1:15" x14ac:dyDescent="0.2">
      <c r="A30" s="104">
        <f t="shared" si="0"/>
        <v>26</v>
      </c>
      <c r="B30" s="103" t="s">
        <v>46</v>
      </c>
      <c r="C30" s="100" t="s">
        <v>78</v>
      </c>
      <c r="D30" s="172">
        <v>14000</v>
      </c>
      <c r="E30" s="57"/>
      <c r="F30" s="172">
        <v>14000</v>
      </c>
      <c r="G30" s="57"/>
      <c r="H30" s="172">
        <v>14000</v>
      </c>
      <c r="I30" s="57"/>
      <c r="J30" s="172">
        <v>14000</v>
      </c>
      <c r="K30" s="51"/>
      <c r="L30" s="172">
        <v>14000</v>
      </c>
      <c r="M30" s="51"/>
      <c r="N30" s="172">
        <v>14000</v>
      </c>
      <c r="O30" s="51"/>
    </row>
    <row r="31" spans="1:15" x14ac:dyDescent="0.2">
      <c r="A31" s="104">
        <f t="shared" si="0"/>
        <v>27</v>
      </c>
      <c r="B31" s="103" t="s">
        <v>45</v>
      </c>
      <c r="C31" s="100" t="s">
        <v>78</v>
      </c>
      <c r="D31" s="172">
        <f>-'Exh 5A, Pg. 1'!N30</f>
        <v>-15000</v>
      </c>
      <c r="E31" s="57"/>
      <c r="F31" s="172">
        <f>-D30</f>
        <v>-14000</v>
      </c>
      <c r="G31" s="57"/>
      <c r="H31" s="172">
        <f>-F30</f>
        <v>-14000</v>
      </c>
      <c r="I31" s="57"/>
      <c r="J31" s="172">
        <f>-H30</f>
        <v>-14000</v>
      </c>
      <c r="K31" s="51"/>
      <c r="L31" s="172">
        <f>-J30</f>
        <v>-14000</v>
      </c>
      <c r="M31" s="51"/>
      <c r="N31" s="172">
        <f>-L30</f>
        <v>-14000</v>
      </c>
      <c r="O31" s="51"/>
    </row>
    <row r="32" spans="1:15" x14ac:dyDescent="0.2">
      <c r="A32" s="104">
        <f t="shared" si="0"/>
        <v>28</v>
      </c>
      <c r="B32" s="159" t="s">
        <v>43</v>
      </c>
      <c r="C32" s="100" t="s">
        <v>78</v>
      </c>
      <c r="D32" s="171">
        <v>14487.16</v>
      </c>
      <c r="E32" s="57" t="s">
        <v>251</v>
      </c>
      <c r="F32" s="171">
        <v>14463.39</v>
      </c>
      <c r="G32" s="57" t="s">
        <v>262</v>
      </c>
      <c r="H32" s="171">
        <v>14447.36</v>
      </c>
      <c r="I32" s="57" t="s">
        <v>272</v>
      </c>
      <c r="J32" s="171">
        <v>14450.38</v>
      </c>
      <c r="K32" s="57" t="s">
        <v>282</v>
      </c>
      <c r="L32" s="171">
        <v>14478.65</v>
      </c>
      <c r="M32" s="57" t="s">
        <v>294</v>
      </c>
      <c r="N32" s="171">
        <v>14395.67</v>
      </c>
      <c r="O32" s="57" t="s">
        <v>305</v>
      </c>
    </row>
    <row r="33" spans="1:16" x14ac:dyDescent="0.2">
      <c r="A33" s="104">
        <f t="shared" si="0"/>
        <v>29</v>
      </c>
      <c r="B33" s="159"/>
      <c r="C33" s="100" t="s">
        <v>0</v>
      </c>
      <c r="D33" s="172">
        <f>SUM(D30:D32)</f>
        <v>13487.16</v>
      </c>
      <c r="E33" s="57"/>
      <c r="F33" s="172">
        <f>SUM(F30:F32)</f>
        <v>14463.39</v>
      </c>
      <c r="G33" s="57"/>
      <c r="H33" s="172">
        <f>SUM(H30:H32)</f>
        <v>14447.36</v>
      </c>
      <c r="I33" s="57"/>
      <c r="J33" s="172">
        <f>SUM(J30:J32)</f>
        <v>14450.38</v>
      </c>
      <c r="K33" s="51"/>
      <c r="L33" s="172">
        <f>SUM(L30:L32)</f>
        <v>14478.65</v>
      </c>
      <c r="M33" s="51"/>
      <c r="N33" s="172">
        <f>SUM(N30:N32)</f>
        <v>14395.67</v>
      </c>
      <c r="O33" s="51"/>
    </row>
    <row r="34" spans="1:16" x14ac:dyDescent="0.2">
      <c r="A34" s="104">
        <f t="shared" si="0"/>
        <v>30</v>
      </c>
      <c r="B34" s="159"/>
      <c r="C34" s="100"/>
      <c r="D34" s="172"/>
      <c r="E34" s="57"/>
      <c r="F34" s="172"/>
      <c r="G34" s="57"/>
      <c r="H34" s="172"/>
      <c r="I34" s="57"/>
      <c r="J34" s="172"/>
      <c r="K34" s="51"/>
      <c r="L34" s="172"/>
      <c r="M34" s="51"/>
      <c r="N34" s="172"/>
      <c r="O34" s="51"/>
    </row>
    <row r="35" spans="1:16" x14ac:dyDescent="0.2">
      <c r="A35" s="104">
        <f t="shared" si="0"/>
        <v>31</v>
      </c>
      <c r="B35" s="159" t="s">
        <v>122</v>
      </c>
      <c r="C35" s="100" t="s">
        <v>78</v>
      </c>
      <c r="D35" s="172">
        <v>-246.62</v>
      </c>
      <c r="E35" s="57" t="s">
        <v>251</v>
      </c>
      <c r="F35" s="172">
        <v>0</v>
      </c>
      <c r="G35" s="57"/>
      <c r="H35" s="172">
        <v>0</v>
      </c>
      <c r="I35" s="57"/>
      <c r="J35" s="172">
        <v>0</v>
      </c>
      <c r="K35" s="51"/>
      <c r="L35" s="172">
        <v>0</v>
      </c>
      <c r="M35" s="51"/>
      <c r="N35" s="172">
        <v>0</v>
      </c>
      <c r="O35" s="51"/>
    </row>
    <row r="36" spans="1:16" x14ac:dyDescent="0.2">
      <c r="A36" s="104">
        <f t="shared" si="0"/>
        <v>32</v>
      </c>
      <c r="B36" s="159"/>
      <c r="C36" s="100"/>
      <c r="D36" s="172"/>
      <c r="E36" s="57"/>
      <c r="F36" s="172"/>
      <c r="G36" s="57"/>
      <c r="H36" s="172"/>
      <c r="I36" s="57"/>
      <c r="J36" s="172"/>
      <c r="K36" s="51"/>
      <c r="L36" s="172"/>
      <c r="M36" s="51"/>
      <c r="N36" s="172"/>
      <c r="O36" s="57"/>
    </row>
    <row r="37" spans="1:16" x14ac:dyDescent="0.2">
      <c r="A37" s="104">
        <f t="shared" si="0"/>
        <v>33</v>
      </c>
      <c r="B37" s="103" t="s">
        <v>1</v>
      </c>
      <c r="C37" s="150" t="s">
        <v>0</v>
      </c>
      <c r="D37" s="126">
        <f>D13+D17+D19+D20+D25+D27+D33+D35</f>
        <v>6363811.54</v>
      </c>
      <c r="E37" s="57"/>
      <c r="F37" s="126">
        <f>F13+F17+F19+F20+F25+F27+F33+F35</f>
        <v>6397832.4899999993</v>
      </c>
      <c r="G37" s="57"/>
      <c r="H37" s="126">
        <f>H13+H17+H19+H20+H25+H27+H33+H35</f>
        <v>6392353.8600000003</v>
      </c>
      <c r="I37" s="57"/>
      <c r="J37" s="126">
        <f>J13+J17+J19+J20+J25+J27+J33+J35</f>
        <v>6403717.54</v>
      </c>
      <c r="K37" s="51"/>
      <c r="L37" s="126">
        <f>L13+L17+L19+L20+L25+L27+L33+L35</f>
        <v>6421727.6800000006</v>
      </c>
      <c r="M37" s="51"/>
      <c r="N37" s="126">
        <f>N13+N17+N19+N20+N25+N27+N33+N35</f>
        <v>6392382.7400000002</v>
      </c>
      <c r="O37" s="102"/>
    </row>
    <row r="38" spans="1:16" x14ac:dyDescent="0.2">
      <c r="A38" s="104">
        <f t="shared" si="0"/>
        <v>34</v>
      </c>
      <c r="D38" s="55"/>
      <c r="E38" s="61" t="s">
        <v>5</v>
      </c>
      <c r="G38" s="61"/>
      <c r="I38" s="61"/>
      <c r="K38" s="54"/>
      <c r="M38" s="54"/>
      <c r="O38" s="54"/>
    </row>
    <row r="39" spans="1:16" x14ac:dyDescent="0.2">
      <c r="A39" s="104">
        <f t="shared" si="0"/>
        <v>35</v>
      </c>
      <c r="B39" s="103" t="s">
        <v>44</v>
      </c>
      <c r="C39" s="164" t="s">
        <v>79</v>
      </c>
      <c r="D39" s="55">
        <v>27510344.379999999</v>
      </c>
      <c r="E39" s="57" t="s">
        <v>252</v>
      </c>
      <c r="F39" s="55">
        <v>36898020.469999999</v>
      </c>
      <c r="G39" s="57" t="s">
        <v>263</v>
      </c>
      <c r="H39" s="55">
        <v>44480382.82</v>
      </c>
      <c r="I39" s="57" t="s">
        <v>273</v>
      </c>
      <c r="J39" s="55">
        <v>42015670.329999998</v>
      </c>
      <c r="K39" s="57" t="s">
        <v>283</v>
      </c>
      <c r="L39" s="55">
        <v>34161380.939999998</v>
      </c>
      <c r="M39" s="57" t="s">
        <v>295</v>
      </c>
      <c r="N39" s="55">
        <v>30887547.699999999</v>
      </c>
      <c r="O39" s="57" t="s">
        <v>306</v>
      </c>
      <c r="P39" s="102"/>
    </row>
    <row r="40" spans="1:16" x14ac:dyDescent="0.2">
      <c r="A40" s="104">
        <f t="shared" si="0"/>
        <v>36</v>
      </c>
      <c r="B40" s="103" t="s">
        <v>45</v>
      </c>
      <c r="C40" s="150" t="s">
        <v>79</v>
      </c>
      <c r="D40" s="55">
        <f>-'Exh 5A, Pg. 1'!N41</f>
        <v>-27510344.379999999</v>
      </c>
      <c r="E40" s="57" t="s">
        <v>5</v>
      </c>
      <c r="F40" s="55">
        <f>-D41</f>
        <v>-36898020.469999999</v>
      </c>
      <c r="G40" s="57" t="s">
        <v>5</v>
      </c>
      <c r="H40" s="55">
        <f>-F41</f>
        <v>-44480382.82</v>
      </c>
      <c r="I40" s="61"/>
      <c r="J40" s="55">
        <f>-H41</f>
        <v>-42015670.329999998</v>
      </c>
      <c r="K40" s="61"/>
      <c r="L40" s="55">
        <f>-J41</f>
        <v>-34161380.939999998</v>
      </c>
      <c r="M40" s="61"/>
      <c r="N40" s="55">
        <f>-L41</f>
        <v>-30887547.699999999</v>
      </c>
      <c r="O40" s="61"/>
      <c r="P40" s="102"/>
    </row>
    <row r="41" spans="1:16" x14ac:dyDescent="0.2">
      <c r="A41" s="104">
        <f t="shared" si="0"/>
        <v>37</v>
      </c>
      <c r="B41" s="103" t="s">
        <v>46</v>
      </c>
      <c r="C41" s="150" t="s">
        <v>79</v>
      </c>
      <c r="D41" s="55">
        <v>36898020.469999999</v>
      </c>
      <c r="E41" s="61"/>
      <c r="F41" s="55">
        <v>44480382.82</v>
      </c>
      <c r="G41" s="61"/>
      <c r="H41" s="55">
        <v>42015670.329999998</v>
      </c>
      <c r="I41" s="61"/>
      <c r="J41" s="55">
        <v>34161380.939999998</v>
      </c>
      <c r="K41" s="61"/>
      <c r="L41" s="55">
        <v>30887547.699999999</v>
      </c>
      <c r="M41" s="61"/>
      <c r="N41" s="55">
        <v>29792694.129999999</v>
      </c>
      <c r="O41" s="61"/>
    </row>
    <row r="42" spans="1:16" x14ac:dyDescent="0.2">
      <c r="A42" s="104">
        <f t="shared" si="0"/>
        <v>38</v>
      </c>
      <c r="B42" s="103" t="s">
        <v>2</v>
      </c>
      <c r="C42" s="150" t="s">
        <v>0</v>
      </c>
      <c r="D42" s="53">
        <f>SUM(D39:D41)</f>
        <v>36898020.469999999</v>
      </c>
      <c r="E42" s="61"/>
      <c r="F42" s="53">
        <f>SUM(F39:F41)</f>
        <v>44480382.82</v>
      </c>
      <c r="G42" s="61"/>
      <c r="H42" s="53">
        <f>SUM(H39:H41)</f>
        <v>42015670.329999998</v>
      </c>
      <c r="I42" s="61"/>
      <c r="J42" s="53">
        <f>SUM(J39:J41)</f>
        <v>34161380.939999998</v>
      </c>
      <c r="K42" s="54"/>
      <c r="L42" s="53">
        <f>SUM(L39:L41)</f>
        <v>30887547.699999999</v>
      </c>
      <c r="M42" s="54"/>
      <c r="N42" s="53">
        <f>SUM(N39:N41)</f>
        <v>29792694.129999999</v>
      </c>
      <c r="O42" s="54"/>
      <c r="P42" s="102"/>
    </row>
    <row r="43" spans="1:16" x14ac:dyDescent="0.2">
      <c r="A43" s="104">
        <f t="shared" si="0"/>
        <v>39</v>
      </c>
      <c r="D43" s="55"/>
      <c r="E43" s="61"/>
      <c r="F43" s="55" t="s">
        <v>5</v>
      </c>
      <c r="G43" s="61"/>
      <c r="I43" s="61"/>
      <c r="K43" s="54"/>
      <c r="M43" s="54"/>
      <c r="O43" s="54"/>
    </row>
    <row r="44" spans="1:16" x14ac:dyDescent="0.2">
      <c r="A44" s="104">
        <f t="shared" si="0"/>
        <v>40</v>
      </c>
      <c r="B44" s="103" t="s">
        <v>44</v>
      </c>
      <c r="C44" s="150" t="s">
        <v>81</v>
      </c>
      <c r="D44" s="55">
        <v>395598.85</v>
      </c>
      <c r="E44" s="57" t="s">
        <v>252</v>
      </c>
      <c r="F44" s="55">
        <v>525231.22</v>
      </c>
      <c r="G44" s="57" t="s">
        <v>263</v>
      </c>
      <c r="H44" s="55">
        <v>633163.67000000004</v>
      </c>
      <c r="I44" s="57" t="s">
        <v>273</v>
      </c>
      <c r="J44" s="55">
        <v>598079.29</v>
      </c>
      <c r="K44" s="57" t="s">
        <v>283</v>
      </c>
      <c r="L44" s="55">
        <v>486276.06</v>
      </c>
      <c r="M44" s="57" t="s">
        <v>295</v>
      </c>
      <c r="N44" s="55">
        <v>439674.11</v>
      </c>
      <c r="O44" s="57" t="s">
        <v>306</v>
      </c>
      <c r="P44" s="102"/>
    </row>
    <row r="45" spans="1:16" x14ac:dyDescent="0.2">
      <c r="A45" s="104">
        <f t="shared" si="0"/>
        <v>41</v>
      </c>
      <c r="B45" s="103" t="s">
        <v>45</v>
      </c>
      <c r="C45" s="150" t="s">
        <v>81</v>
      </c>
      <c r="D45" s="55">
        <f>-'Exh 5A, Pg. 1'!N46</f>
        <v>-395598.85</v>
      </c>
      <c r="E45" s="57" t="s">
        <v>5</v>
      </c>
      <c r="F45" s="55">
        <f>-D46</f>
        <v>-525231.22</v>
      </c>
      <c r="G45" s="57" t="s">
        <v>5</v>
      </c>
      <c r="H45" s="55">
        <f>-F46</f>
        <v>-633163.67000000004</v>
      </c>
      <c r="I45" s="61"/>
      <c r="J45" s="55">
        <f>-H46</f>
        <v>-598079.29</v>
      </c>
      <c r="K45" s="52"/>
      <c r="L45" s="55">
        <f>-J46</f>
        <v>-486276.06</v>
      </c>
      <c r="M45" s="57" t="s">
        <v>5</v>
      </c>
      <c r="N45" s="55">
        <f>-L46</f>
        <v>-439674.11</v>
      </c>
      <c r="O45" s="57" t="s">
        <v>5</v>
      </c>
      <c r="P45" s="102"/>
    </row>
    <row r="46" spans="1:16" x14ac:dyDescent="0.2">
      <c r="A46" s="104">
        <f t="shared" si="0"/>
        <v>42</v>
      </c>
      <c r="B46" s="103" t="s">
        <v>46</v>
      </c>
      <c r="C46" s="150" t="s">
        <v>81</v>
      </c>
      <c r="D46" s="55">
        <v>525231.22</v>
      </c>
      <c r="E46" s="61"/>
      <c r="F46" s="55">
        <v>633163.67000000004</v>
      </c>
      <c r="G46" s="61"/>
      <c r="H46" s="55">
        <v>598079.29</v>
      </c>
      <c r="I46" s="61"/>
      <c r="J46" s="55">
        <v>486276.06</v>
      </c>
      <c r="K46" s="52"/>
      <c r="L46" s="55">
        <v>439674.11</v>
      </c>
      <c r="M46" s="52"/>
      <c r="N46" s="55">
        <v>424089.23</v>
      </c>
      <c r="O46" s="52"/>
    </row>
    <row r="47" spans="1:16" x14ac:dyDescent="0.2">
      <c r="A47" s="104">
        <f t="shared" si="0"/>
        <v>43</v>
      </c>
      <c r="B47" s="103" t="s">
        <v>3</v>
      </c>
      <c r="C47" s="150" t="s">
        <v>0</v>
      </c>
      <c r="D47" s="53">
        <f>SUM(D44:D46)</f>
        <v>525231.22</v>
      </c>
      <c r="E47" s="57" t="s">
        <v>5</v>
      </c>
      <c r="F47" s="53">
        <f>SUM(F44:F46)</f>
        <v>633163.67000000004</v>
      </c>
      <c r="G47" s="61"/>
      <c r="H47" s="53">
        <f>SUM(H44:H46)</f>
        <v>598079.29</v>
      </c>
      <c r="I47" s="61"/>
      <c r="J47" s="53">
        <f>SUM(J44:J46)</f>
        <v>486276.06</v>
      </c>
      <c r="K47" s="54"/>
      <c r="L47" s="53">
        <f>SUM(L44:L46)</f>
        <v>439674.11</v>
      </c>
      <c r="M47" s="54"/>
      <c r="N47" s="53">
        <f>SUM(N44:N46)</f>
        <v>424089.23</v>
      </c>
      <c r="O47" s="54"/>
      <c r="P47" s="102"/>
    </row>
    <row r="48" spans="1:16" x14ac:dyDescent="0.2">
      <c r="A48" s="104">
        <f t="shared" si="0"/>
        <v>44</v>
      </c>
      <c r="D48" s="55" t="s">
        <v>5</v>
      </c>
      <c r="E48" s="61"/>
      <c r="G48" s="61"/>
      <c r="I48" s="61"/>
      <c r="K48" s="54"/>
      <c r="M48" s="54"/>
      <c r="O48" s="54"/>
    </row>
    <row r="49" spans="1:16" x14ac:dyDescent="0.2">
      <c r="A49" s="104">
        <f t="shared" si="0"/>
        <v>45</v>
      </c>
      <c r="B49" s="103" t="s">
        <v>106</v>
      </c>
      <c r="C49" s="105">
        <v>456100</v>
      </c>
      <c r="D49" s="55">
        <v>-587401.12</v>
      </c>
      <c r="E49" s="61" t="s">
        <v>253</v>
      </c>
      <c r="F49" s="55">
        <v>-707805.64</v>
      </c>
      <c r="G49" s="61" t="s">
        <v>264</v>
      </c>
      <c r="H49" s="55">
        <v>-505261.61</v>
      </c>
      <c r="I49" s="61" t="s">
        <v>274</v>
      </c>
      <c r="J49" s="55">
        <v>-652867.43999999994</v>
      </c>
      <c r="K49" s="54" t="s">
        <v>284</v>
      </c>
      <c r="L49" s="55">
        <v>-634294.30000000005</v>
      </c>
      <c r="M49" s="54" t="s">
        <v>296</v>
      </c>
      <c r="N49" s="55">
        <v>-696220.65</v>
      </c>
      <c r="O49" s="54" t="s">
        <v>307</v>
      </c>
    </row>
    <row r="50" spans="1:16" x14ac:dyDescent="0.2">
      <c r="A50" s="104">
        <f t="shared" si="0"/>
        <v>46</v>
      </c>
      <c r="B50" s="103" t="s">
        <v>107</v>
      </c>
      <c r="C50" s="105">
        <v>408620</v>
      </c>
      <c r="D50" s="55">
        <v>49929</v>
      </c>
      <c r="E50" s="61" t="s">
        <v>254</v>
      </c>
      <c r="F50" s="55">
        <v>60163</v>
      </c>
      <c r="G50" s="61" t="s">
        <v>265</v>
      </c>
      <c r="H50" s="55">
        <v>42947</v>
      </c>
      <c r="I50" s="61" t="s">
        <v>275</v>
      </c>
      <c r="J50" s="55">
        <v>55494</v>
      </c>
      <c r="K50" s="54" t="s">
        <v>285</v>
      </c>
      <c r="L50" s="55">
        <v>53915</v>
      </c>
      <c r="M50" s="54" t="s">
        <v>297</v>
      </c>
      <c r="N50" s="55">
        <v>59179</v>
      </c>
      <c r="O50" s="54" t="s">
        <v>308</v>
      </c>
    </row>
    <row r="51" spans="1:16" x14ac:dyDescent="0.2">
      <c r="A51" s="104">
        <f t="shared" si="0"/>
        <v>47</v>
      </c>
      <c r="B51" s="12" t="s">
        <v>131</v>
      </c>
      <c r="C51" s="105" t="s">
        <v>120</v>
      </c>
      <c r="D51" s="55">
        <v>-1260181.72</v>
      </c>
      <c r="E51" s="61" t="s">
        <v>255</v>
      </c>
      <c r="F51" s="55">
        <v>-1262607.45</v>
      </c>
      <c r="G51" s="61" t="s">
        <v>266</v>
      </c>
      <c r="H51" s="55">
        <v>-1260951.3700000001</v>
      </c>
      <c r="I51" s="61" t="s">
        <v>276</v>
      </c>
      <c r="J51" s="55">
        <v>-1264452.42</v>
      </c>
      <c r="K51" s="54" t="s">
        <v>286</v>
      </c>
      <c r="L51" s="55">
        <v>-1273530.49</v>
      </c>
      <c r="M51" s="54" t="s">
        <v>298</v>
      </c>
      <c r="N51" s="55">
        <v>-1273076.0900000001</v>
      </c>
      <c r="O51" s="54" t="s">
        <v>316</v>
      </c>
      <c r="P51" s="102"/>
    </row>
    <row r="52" spans="1:16" x14ac:dyDescent="0.2">
      <c r="A52" s="104">
        <f t="shared" si="0"/>
        <v>48</v>
      </c>
      <c r="B52" s="103" t="s">
        <v>84</v>
      </c>
      <c r="C52" s="150">
        <v>565580</v>
      </c>
      <c r="D52" s="55">
        <v>9368.2199999999993</v>
      </c>
      <c r="E52" s="57" t="s">
        <v>256</v>
      </c>
      <c r="F52" s="55">
        <v>12364.45</v>
      </c>
      <c r="G52" s="57" t="s">
        <v>127</v>
      </c>
      <c r="H52" s="55">
        <v>12602.66</v>
      </c>
      <c r="I52" s="57" t="s">
        <v>277</v>
      </c>
      <c r="J52" s="55">
        <v>14180.22</v>
      </c>
      <c r="K52" s="57" t="s">
        <v>287</v>
      </c>
      <c r="L52" s="55">
        <v>0</v>
      </c>
      <c r="M52" s="57"/>
      <c r="N52" s="55">
        <v>9320.2099999999991</v>
      </c>
      <c r="O52" s="57" t="s">
        <v>309</v>
      </c>
    </row>
    <row r="53" spans="1:16" x14ac:dyDescent="0.2">
      <c r="A53" s="104">
        <f t="shared" si="0"/>
        <v>49</v>
      </c>
      <c r="B53" s="103" t="s">
        <v>121</v>
      </c>
      <c r="C53" s="150">
        <v>565590</v>
      </c>
      <c r="D53" s="55">
        <v>20454.75</v>
      </c>
      <c r="E53" s="57" t="s">
        <v>257</v>
      </c>
      <c r="F53" s="55">
        <v>20072.439999999999</v>
      </c>
      <c r="G53" s="57" t="s">
        <v>128</v>
      </c>
      <c r="H53" s="55">
        <v>21488.18</v>
      </c>
      <c r="I53" s="57" t="s">
        <v>278</v>
      </c>
      <c r="J53" s="55">
        <v>22120.25</v>
      </c>
      <c r="K53" s="57" t="s">
        <v>288</v>
      </c>
      <c r="L53" s="55">
        <v>21917.82</v>
      </c>
      <c r="M53" s="57" t="s">
        <v>299</v>
      </c>
      <c r="N53" s="55">
        <v>17603.32</v>
      </c>
      <c r="O53" s="57" t="s">
        <v>310</v>
      </c>
    </row>
    <row r="54" spans="1:16" x14ac:dyDescent="0.2">
      <c r="A54" s="104">
        <f t="shared" si="0"/>
        <v>50</v>
      </c>
      <c r="B54" s="103" t="s">
        <v>47</v>
      </c>
      <c r="C54" s="150">
        <v>565520</v>
      </c>
      <c r="D54" s="55">
        <v>400557.42</v>
      </c>
      <c r="E54" s="57" t="s">
        <v>258</v>
      </c>
      <c r="F54" s="55">
        <v>457646.38</v>
      </c>
      <c r="G54" s="57" t="s">
        <v>267</v>
      </c>
      <c r="H54" s="55">
        <v>336046.32</v>
      </c>
      <c r="I54" s="57" t="s">
        <v>279</v>
      </c>
      <c r="J54" s="55">
        <v>416424.9</v>
      </c>
      <c r="K54" s="57" t="s">
        <v>289</v>
      </c>
      <c r="L54" s="55">
        <v>448293.04</v>
      </c>
      <c r="M54" s="57" t="s">
        <v>300</v>
      </c>
      <c r="N54" s="55">
        <v>574496.17000000004</v>
      </c>
      <c r="O54" s="57" t="s">
        <v>311</v>
      </c>
      <c r="P54" s="149"/>
    </row>
    <row r="55" spans="1:16" x14ac:dyDescent="0.2">
      <c r="A55" s="104">
        <f t="shared" si="0"/>
        <v>51</v>
      </c>
      <c r="B55" s="103" t="s">
        <v>48</v>
      </c>
      <c r="C55" s="150">
        <v>565520</v>
      </c>
      <c r="D55" s="55">
        <v>157020.73000000001</v>
      </c>
      <c r="E55" s="57" t="s">
        <v>259</v>
      </c>
      <c r="F55" s="55">
        <v>217722.37</v>
      </c>
      <c r="G55" s="57" t="s">
        <v>268</v>
      </c>
      <c r="H55" s="55">
        <v>135124.45000000001</v>
      </c>
      <c r="I55" s="57" t="s">
        <v>129</v>
      </c>
      <c r="J55" s="55">
        <v>200142.07</v>
      </c>
      <c r="K55" s="57" t="s">
        <v>290</v>
      </c>
      <c r="L55" s="55">
        <v>167450.10999999999</v>
      </c>
      <c r="M55" s="57" t="s">
        <v>301</v>
      </c>
      <c r="N55" s="55">
        <v>91434.28</v>
      </c>
      <c r="O55" s="57" t="s">
        <v>312</v>
      </c>
    </row>
    <row r="56" spans="1:16" x14ac:dyDescent="0.2">
      <c r="A56" s="104">
        <f t="shared" si="0"/>
        <v>52</v>
      </c>
      <c r="B56" s="103" t="s">
        <v>83</v>
      </c>
      <c r="C56" s="150">
        <v>565520</v>
      </c>
      <c r="D56" s="55">
        <v>0</v>
      </c>
      <c r="E56" s="57"/>
      <c r="F56" s="55">
        <v>0</v>
      </c>
      <c r="G56" s="57"/>
      <c r="H56" s="55">
        <v>0</v>
      </c>
      <c r="I56" s="57"/>
      <c r="J56" s="55">
        <v>0</v>
      </c>
      <c r="K56" s="57"/>
      <c r="L56" s="55">
        <v>0</v>
      </c>
      <c r="M56" s="57"/>
      <c r="O56" s="57"/>
    </row>
    <row r="57" spans="1:16" x14ac:dyDescent="0.2">
      <c r="A57" s="104">
        <f t="shared" si="0"/>
        <v>53</v>
      </c>
      <c r="B57" s="103" t="s">
        <v>4</v>
      </c>
      <c r="C57" s="150" t="s">
        <v>0</v>
      </c>
      <c r="D57" s="53">
        <f>SUM(D49:D56)</f>
        <v>-1210252.72</v>
      </c>
      <c r="F57" s="53">
        <f>SUM(F49:F56)</f>
        <v>-1202444.4499999997</v>
      </c>
      <c r="G57" s="55"/>
      <c r="H57" s="53">
        <f>SUM(H49:H56)</f>
        <v>-1218004.3700000001</v>
      </c>
      <c r="I57" s="62"/>
      <c r="J57" s="53">
        <f>SUM(J49:J56)</f>
        <v>-1208958.4199999997</v>
      </c>
      <c r="K57" s="55"/>
      <c r="L57" s="53">
        <f>SUM(L49:L56)</f>
        <v>-1216248.8199999998</v>
      </c>
      <c r="M57" s="55"/>
      <c r="N57" s="53">
        <f>SUM(N49:N56)</f>
        <v>-1217263.76</v>
      </c>
      <c r="O57" s="55"/>
      <c r="P57" s="102"/>
    </row>
    <row r="58" spans="1:16" x14ac:dyDescent="0.2">
      <c r="A58" s="104">
        <f t="shared" si="0"/>
        <v>54</v>
      </c>
      <c r="C58" s="150"/>
      <c r="D58" s="49"/>
      <c r="F58" s="49"/>
      <c r="G58" s="55"/>
      <c r="H58" s="49"/>
      <c r="I58" s="62"/>
      <c r="J58" s="49"/>
      <c r="K58" s="55"/>
      <c r="L58" s="49"/>
      <c r="M58" s="55"/>
      <c r="N58" s="49"/>
      <c r="O58" s="55"/>
    </row>
    <row r="59" spans="1:16" x14ac:dyDescent="0.2">
      <c r="A59" s="104">
        <f t="shared" si="0"/>
        <v>55</v>
      </c>
      <c r="B59" s="103" t="s">
        <v>104</v>
      </c>
      <c r="C59" s="150">
        <v>928000</v>
      </c>
      <c r="D59" s="49">
        <v>814.71</v>
      </c>
      <c r="F59" s="49">
        <v>4242.3999999999996</v>
      </c>
      <c r="G59" s="55"/>
      <c r="H59" s="49">
        <v>45050.6</v>
      </c>
      <c r="I59" s="62"/>
      <c r="J59" s="49">
        <v>547.20000000000005</v>
      </c>
      <c r="K59" s="55"/>
      <c r="L59" s="49">
        <v>1256.3399999999999</v>
      </c>
      <c r="M59" s="55"/>
      <c r="N59" s="49">
        <v>0</v>
      </c>
      <c r="O59" s="55"/>
      <c r="P59" s="102"/>
    </row>
    <row r="60" spans="1:16" x14ac:dyDescent="0.2">
      <c r="A60" s="104">
        <f t="shared" si="0"/>
        <v>56</v>
      </c>
      <c r="D60" s="55" t="s">
        <v>5</v>
      </c>
      <c r="G60" s="55"/>
      <c r="I60" s="55"/>
      <c r="K60" s="55"/>
      <c r="M60" s="55"/>
      <c r="O60" s="55"/>
    </row>
    <row r="61" spans="1:16" x14ac:dyDescent="0.2">
      <c r="A61" s="104">
        <f t="shared" si="0"/>
        <v>57</v>
      </c>
      <c r="B61" s="103" t="s">
        <v>6</v>
      </c>
      <c r="C61" s="150">
        <v>408620</v>
      </c>
      <c r="D61" s="175">
        <v>3491686</v>
      </c>
      <c r="E61" s="51"/>
      <c r="F61" s="175">
        <v>3809432</v>
      </c>
      <c r="G61" s="51"/>
      <c r="H61" s="175">
        <v>3236522</v>
      </c>
      <c r="I61" s="51"/>
      <c r="J61" s="175">
        <v>2752504</v>
      </c>
      <c r="K61" s="51"/>
      <c r="L61" s="175">
        <v>2748492</v>
      </c>
      <c r="M61" s="51"/>
      <c r="N61" s="175">
        <v>3155611</v>
      </c>
      <c r="O61" s="51"/>
      <c r="P61" s="102"/>
    </row>
    <row r="62" spans="1:16" x14ac:dyDescent="0.2">
      <c r="A62" s="104">
        <f t="shared" si="0"/>
        <v>58</v>
      </c>
      <c r="D62" s="49"/>
      <c r="F62" s="49"/>
      <c r="G62" s="55"/>
      <c r="H62" s="49"/>
      <c r="I62" s="49"/>
      <c r="J62" s="49"/>
      <c r="K62" s="49"/>
      <c r="L62" s="49"/>
      <c r="M62" s="49"/>
      <c r="N62" s="49"/>
      <c r="O62" s="49"/>
    </row>
    <row r="63" spans="1:16" ht="13.5" thickBot="1" x14ac:dyDescent="0.25">
      <c r="A63" s="104">
        <f t="shared" si="0"/>
        <v>59</v>
      </c>
      <c r="B63" s="103" t="s">
        <v>116</v>
      </c>
      <c r="D63" s="127">
        <f>SUM(D37,D42,D47,D57,D59,D61)</f>
        <v>46069311.219999999</v>
      </c>
      <c r="F63" s="127">
        <f>SUM(F37,F42,F47,F57,F59,F61)</f>
        <v>54122608.93</v>
      </c>
      <c r="G63" s="55"/>
      <c r="H63" s="127">
        <f>SUM(H37,H42,H47,H57,H59,H61)</f>
        <v>51069671.710000001</v>
      </c>
      <c r="I63" s="49"/>
      <c r="J63" s="127">
        <f>SUM(J37,J42,J47,J57,J59,J61)</f>
        <v>42595467.32</v>
      </c>
      <c r="K63" s="49"/>
      <c r="L63" s="127">
        <f>SUM(L37,L42,L47,L57,L59,L61)</f>
        <v>39282449.010000005</v>
      </c>
      <c r="M63" s="49"/>
      <c r="N63" s="127">
        <f>SUM(N37,N42,N47,N57,N59,N61)</f>
        <v>38547513.339999996</v>
      </c>
      <c r="O63" s="49"/>
      <c r="P63" s="102"/>
    </row>
    <row r="64" spans="1:16" ht="13.5" thickTop="1" x14ac:dyDescent="0.2">
      <c r="A64" s="104">
        <f t="shared" si="0"/>
        <v>60</v>
      </c>
      <c r="D64" s="49"/>
      <c r="F64" s="49"/>
      <c r="G64" s="55"/>
      <c r="H64" s="49"/>
      <c r="I64" s="49"/>
      <c r="J64" s="49"/>
      <c r="K64" s="49"/>
      <c r="L64" s="49"/>
      <c r="M64" s="49"/>
      <c r="N64" s="49"/>
      <c r="O64" s="55"/>
    </row>
    <row r="65" spans="1:15" x14ac:dyDescent="0.2">
      <c r="A65" s="104">
        <f t="shared" si="0"/>
        <v>61</v>
      </c>
      <c r="D65" s="49"/>
      <c r="F65" s="49"/>
      <c r="G65" s="55"/>
      <c r="H65" s="49"/>
      <c r="I65" s="49"/>
      <c r="J65" s="49"/>
      <c r="K65" s="49"/>
      <c r="L65" s="49"/>
      <c r="M65" s="49"/>
      <c r="N65" s="49"/>
      <c r="O65" s="55"/>
    </row>
    <row r="66" spans="1:15" ht="13.5" thickBot="1" x14ac:dyDescent="0.25">
      <c r="A66" s="104">
        <f t="shared" si="0"/>
        <v>62</v>
      </c>
      <c r="B66" s="157" t="s">
        <v>49</v>
      </c>
      <c r="C66" s="151" t="s">
        <v>50</v>
      </c>
      <c r="F66" s="49"/>
      <c r="G66" s="55"/>
      <c r="H66" s="49"/>
      <c r="I66" s="49"/>
      <c r="J66" s="49"/>
      <c r="K66" s="49"/>
      <c r="L66" s="49"/>
      <c r="M66" s="49" t="s">
        <v>159</v>
      </c>
      <c r="N66" s="128">
        <f>'Exh 5A, Pg. 1'!D63+'Exh 5A, Pg. 1'!F63+'Exh 5A, Pg. 1'!H63+'Exh 5A, Pg. 1'!J63+'Exh 5A, Pg. 1'!L63+'Exh 5A, Pg. 1'!N63+'Exh 5A, Pg. 2'!D63+'Exh 5A, Pg. 2'!F63+'Exh 5A, Pg. 2'!H63+'Exh 5A, Pg. 2'!J63+'Exh 5A, Pg. 2'!L63+'Exh 5A, Pg. 2'!N63</f>
        <v>493543882.40999991</v>
      </c>
      <c r="O66" s="55"/>
    </row>
    <row r="67" spans="1:15" x14ac:dyDescent="0.2">
      <c r="A67" s="104">
        <f t="shared" si="0"/>
        <v>63</v>
      </c>
      <c r="B67" s="103" t="s">
        <v>51</v>
      </c>
      <c r="C67" s="150" t="s">
        <v>52</v>
      </c>
      <c r="F67" s="49"/>
      <c r="G67" s="55"/>
      <c r="H67" s="49"/>
      <c r="I67" s="49"/>
      <c r="J67" s="49"/>
      <c r="K67" s="49"/>
      <c r="L67" s="49"/>
      <c r="M67" s="49"/>
      <c r="N67" s="49"/>
      <c r="O67" s="55"/>
    </row>
    <row r="68" spans="1:15" x14ac:dyDescent="0.2">
      <c r="A68" s="104">
        <f t="shared" si="0"/>
        <v>64</v>
      </c>
      <c r="B68" s="103" t="s">
        <v>53</v>
      </c>
      <c r="C68" s="150" t="s">
        <v>54</v>
      </c>
      <c r="F68" s="49"/>
      <c r="G68" s="55"/>
      <c r="H68" s="49"/>
      <c r="I68" s="49"/>
      <c r="J68" s="49"/>
      <c r="K68" s="49"/>
      <c r="L68" s="49"/>
      <c r="M68" s="49"/>
      <c r="N68" s="49"/>
      <c r="O68" s="55"/>
    </row>
    <row r="69" spans="1:15" x14ac:dyDescent="0.2">
      <c r="A69" s="104">
        <f t="shared" si="0"/>
        <v>65</v>
      </c>
      <c r="B69" s="103" t="s">
        <v>55</v>
      </c>
      <c r="C69" s="150" t="s">
        <v>56</v>
      </c>
      <c r="F69" s="49"/>
      <c r="G69" s="55"/>
      <c r="H69" s="49"/>
      <c r="I69" s="49"/>
      <c r="J69" s="49"/>
      <c r="K69" s="49"/>
      <c r="L69" s="49"/>
      <c r="M69" s="49"/>
      <c r="N69" s="49"/>
      <c r="O69" s="55"/>
    </row>
    <row r="70" spans="1:15" x14ac:dyDescent="0.2">
      <c r="A70" s="104">
        <f t="shared" si="0"/>
        <v>66</v>
      </c>
      <c r="B70" s="103" t="s">
        <v>57</v>
      </c>
      <c r="C70" s="150" t="s">
        <v>58</v>
      </c>
      <c r="F70" s="49"/>
      <c r="G70" s="55"/>
      <c r="H70" s="49"/>
      <c r="I70" s="49"/>
      <c r="J70" s="49"/>
      <c r="K70" s="49"/>
      <c r="L70" s="49"/>
      <c r="M70" s="49"/>
      <c r="N70" s="49"/>
      <c r="O70" s="55"/>
    </row>
    <row r="71" spans="1:15" x14ac:dyDescent="0.2">
      <c r="A71" s="104">
        <f t="shared" si="0"/>
        <v>67</v>
      </c>
      <c r="B71" s="103" t="s">
        <v>59</v>
      </c>
      <c r="C71" s="150" t="s">
        <v>60</v>
      </c>
      <c r="F71" s="49"/>
      <c r="G71" s="55"/>
      <c r="H71" s="49"/>
      <c r="I71" s="49"/>
      <c r="J71" s="49"/>
      <c r="K71" s="49"/>
      <c r="L71" s="49"/>
      <c r="M71" s="49"/>
      <c r="N71" s="49"/>
      <c r="O71" s="55"/>
    </row>
    <row r="72" spans="1:15" x14ac:dyDescent="0.2">
      <c r="F72" s="49"/>
      <c r="G72" s="55"/>
      <c r="H72" s="49"/>
      <c r="I72" s="49"/>
      <c r="J72" s="49"/>
      <c r="K72" s="49"/>
      <c r="L72" s="49"/>
      <c r="M72" s="49"/>
      <c r="N72" s="49"/>
      <c r="O72" s="55"/>
    </row>
    <row r="73" spans="1:15" x14ac:dyDescent="0.2">
      <c r="D73" s="49"/>
      <c r="F73" s="49"/>
      <c r="G73" s="55"/>
      <c r="H73" s="49"/>
      <c r="I73" s="49"/>
      <c r="J73" s="49"/>
      <c r="K73" s="49"/>
      <c r="L73" s="49"/>
      <c r="M73" s="49"/>
      <c r="N73" s="49"/>
      <c r="O73" s="55"/>
    </row>
    <row r="74" spans="1:15" x14ac:dyDescent="0.2">
      <c r="A74" s="8"/>
      <c r="D74" s="49"/>
      <c r="F74" s="49"/>
      <c r="G74" s="55"/>
      <c r="H74" s="49"/>
      <c r="I74" s="49"/>
      <c r="J74" s="49"/>
      <c r="K74" s="49"/>
      <c r="L74" s="49"/>
      <c r="M74" s="49"/>
      <c r="N74" s="49"/>
      <c r="O74" s="55"/>
    </row>
    <row r="75" spans="1:15" x14ac:dyDescent="0.2">
      <c r="A75" s="8"/>
      <c r="O75" s="55"/>
    </row>
    <row r="76" spans="1:15" x14ac:dyDescent="0.2">
      <c r="A76" s="8"/>
      <c r="B76" s="156" t="s">
        <v>5</v>
      </c>
      <c r="C76" s="152"/>
      <c r="D76" s="202" t="s">
        <v>5</v>
      </c>
      <c r="E76" s="202"/>
      <c r="F76" s="202"/>
      <c r="G76" s="202"/>
      <c r="H76" s="202"/>
      <c r="I76" s="202"/>
      <c r="J76" s="202"/>
      <c r="K76" s="202"/>
      <c r="L76" s="165"/>
      <c r="M76" s="101"/>
      <c r="N76" s="165"/>
      <c r="O76" s="101"/>
    </row>
    <row r="79" spans="1:15" x14ac:dyDescent="0.2">
      <c r="N79" s="166"/>
    </row>
  </sheetData>
  <mergeCells count="11">
    <mergeCell ref="D76:K76"/>
    <mergeCell ref="B4:O4"/>
    <mergeCell ref="B5:O5"/>
    <mergeCell ref="B6:O6"/>
    <mergeCell ref="B7:O7"/>
    <mergeCell ref="D9:E9"/>
    <mergeCell ref="F9:G9"/>
    <mergeCell ref="H9:I9"/>
    <mergeCell ref="J9:K9"/>
    <mergeCell ref="L9:M9"/>
    <mergeCell ref="N9:O9"/>
  </mergeCells>
  <pageMargins left="0.7" right="0.2" top="1" bottom="0.4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TOC</vt:lpstr>
      <vt:lpstr>Exh 5, Pg. 1</vt:lpstr>
      <vt:lpstr>Exh 5, Pg. 2</vt:lpstr>
      <vt:lpstr>Exh 5, Pg. 3</vt:lpstr>
      <vt:lpstr>Exh 5, Pg. 4</vt:lpstr>
      <vt:lpstr>Exh 5A, Pg. 1</vt:lpstr>
      <vt:lpstr>Exh 5A, Pg. 2</vt:lpstr>
      <vt:lpstr>'Exh 5, Pg. 1'!Print_Area</vt:lpstr>
      <vt:lpstr>'Exh 5, Pg. 2'!Print_Area</vt:lpstr>
      <vt:lpstr>'Exh 5A, Pg. 1'!Print_Area</vt:lpstr>
      <vt:lpstr>'Exh 5A, Pg. 2'!Print_Area</vt:lpstr>
      <vt:lpstr>TOC!Print_Area</vt:lpstr>
    </vt:vector>
  </TitlesOfParts>
  <Company>Northeast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intlab2</dc:creator>
  <cp:lastModifiedBy>DeMichele, Jani</cp:lastModifiedBy>
  <cp:lastPrinted>2020-04-07T17:59:24Z</cp:lastPrinted>
  <dcterms:created xsi:type="dcterms:W3CDTF">2005-05-23T15:03:33Z</dcterms:created>
  <dcterms:modified xsi:type="dcterms:W3CDTF">2020-04-07T17:59:30Z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